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2-2023\Enrollment\Cost Estimator\"/>
    </mc:Choice>
  </mc:AlternateContent>
  <xr:revisionPtr revIDLastSave="0" documentId="8_{B2CAB19C-7042-41D8-B754-649049F5CEBF}" xr6:coauthVersionLast="47" xr6:coauthVersionMax="47" xr10:uidLastSave="{00000000-0000-0000-0000-000000000000}"/>
  <workbookProtection workbookAlgorithmName="SHA-512" workbookHashValue="Q16L9cL3X3+TUk56+8YmRpXOJowrAUyuMB+0VZtSHJnxakWsWIOqbwV0OptNI6CAFATwcRuoj4QYJHrRtG/HlQ==" workbookSaltValue="oiZ/KieuwPGcXPgcPx8rCg=="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2" l="1"/>
  <c r="C24" i="10"/>
  <c r="B19" i="17"/>
  <c r="B7" i="17"/>
  <c r="C11" i="14" l="1"/>
  <c r="C10" i="14"/>
  <c r="C29" i="15" l="1"/>
  <c r="C28" i="15"/>
  <c r="N36" i="13"/>
  <c r="C29" i="13"/>
  <c r="C28" i="13"/>
  <c r="C17" i="10" l="1"/>
  <c r="A201" i="12"/>
  <c r="C20" i="10" l="1"/>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D67" i="1"/>
  <c r="D66" i="1"/>
  <c r="C66" i="1"/>
  <c r="C64" i="1"/>
  <c r="C55" i="1"/>
  <c r="A205" i="12"/>
  <c r="A207" i="12"/>
  <c r="C11" i="10"/>
  <c r="C50" i="1"/>
  <c r="C51" i="16"/>
  <c r="C49" i="16"/>
  <c r="C50" i="16" s="1"/>
  <c r="C52" i="16" s="1"/>
  <c r="C51" i="13"/>
  <c r="C49" i="13"/>
  <c r="C50" i="13" s="1"/>
  <c r="C52" i="13" s="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E72" i="16" s="1"/>
  <c r="E10" i="16" s="1"/>
  <c r="V10" i="16" s="1"/>
  <c r="C37" i="1"/>
  <c r="C46" i="1"/>
  <c r="C42" i="1"/>
  <c r="C44" i="13"/>
  <c r="I10" i="13"/>
  <c r="F27" i="13"/>
  <c r="F10" i="13"/>
  <c r="L27" i="15"/>
  <c r="I27" i="13"/>
  <c r="L10" i="13"/>
  <c r="L27" i="13"/>
  <c r="G62" i="1"/>
  <c r="G60" i="1"/>
  <c r="F23" i="13"/>
  <c r="C26" i="16"/>
  <c r="C23" i="15"/>
  <c r="C18" i="13"/>
  <c r="C24" i="13"/>
  <c r="C12" i="13"/>
  <c r="C11" i="16"/>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H72" i="15" l="1"/>
  <c r="B72" i="15"/>
  <c r="A6" i="15" s="1"/>
  <c r="O4" i="15" s="1"/>
  <c r="K72" i="13"/>
  <c r="H72" i="13"/>
  <c r="G68" i="1"/>
  <c r="G67" i="1"/>
  <c r="G69" i="1"/>
  <c r="L28" i="16"/>
  <c r="F28" i="16"/>
  <c r="L13" i="13"/>
  <c r="I25" i="15"/>
  <c r="L22" i="16"/>
  <c r="L15" i="13"/>
  <c r="I15" i="13"/>
  <c r="E72" i="13"/>
  <c r="E16" i="13" s="1"/>
  <c r="V16" i="13" s="1"/>
  <c r="E71" i="15"/>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E15" i="16"/>
  <c r="V15" i="16" s="1"/>
  <c r="L27" i="16"/>
  <c r="I27" i="16"/>
  <c r="F27" i="16"/>
  <c r="L15" i="16"/>
  <c r="L29" i="16"/>
  <c r="I29" i="16"/>
  <c r="F29" i="16"/>
  <c r="E29" i="16"/>
  <c r="V29" i="16" s="1"/>
  <c r="I23" i="16"/>
  <c r="C23" i="16"/>
  <c r="F23" i="16"/>
  <c r="L23" i="16"/>
  <c r="F15" i="16"/>
  <c r="C53" i="13"/>
  <c r="E67" i="1"/>
  <c r="I16" i="15"/>
  <c r="C16" i="15"/>
  <c r="L16" i="15"/>
  <c r="L26" i="15"/>
  <c r="C26" i="15"/>
  <c r="I26" i="15"/>
  <c r="V18" i="16"/>
  <c r="O31" i="16"/>
  <c r="H16" i="16"/>
  <c r="Y16" i="16" s="1"/>
  <c r="H10" i="16"/>
  <c r="H18" i="16"/>
  <c r="Y18" i="16" s="1"/>
  <c r="E14" i="16"/>
  <c r="H14" i="16" s="1"/>
  <c r="Y14" i="16" s="1"/>
  <c r="E20" i="16"/>
  <c r="E19" i="16"/>
  <c r="E17" i="16"/>
  <c r="E25" i="16"/>
  <c r="H25" i="16" s="1"/>
  <c r="Y25" i="16" s="1"/>
  <c r="E24" i="16"/>
  <c r="H24" i="16" s="1"/>
  <c r="Y24" i="16" s="1"/>
  <c r="E21" i="16"/>
  <c r="H21" i="16" s="1"/>
  <c r="Y21" i="16" s="1"/>
  <c r="E28" i="16"/>
  <c r="E26" i="16"/>
  <c r="E11" i="16"/>
  <c r="E27" i="16"/>
  <c r="V27" i="16" s="1"/>
  <c r="E57" i="1"/>
  <c r="E22" i="16"/>
  <c r="C14" i="13"/>
  <c r="F15" i="15"/>
  <c r="C15" i="15"/>
  <c r="L15" i="15"/>
  <c r="C27" i="15"/>
  <c r="F27" i="15"/>
  <c r="E13" i="16"/>
  <c r="E12" i="16"/>
  <c r="H12" i="16" s="1"/>
  <c r="Y12" i="16" s="1"/>
  <c r="I27" i="15"/>
  <c r="F28" i="15"/>
  <c r="F18" i="13"/>
  <c r="L18" i="13"/>
  <c r="I18" i="13"/>
  <c r="C25" i="16"/>
  <c r="F25" i="16"/>
  <c r="F20" i="13"/>
  <c r="F21" i="15"/>
  <c r="C21" i="15"/>
  <c r="E22" i="13"/>
  <c r="E29" i="13"/>
  <c r="F29" i="13" s="1"/>
  <c r="E12" i="13"/>
  <c r="E24" i="13"/>
  <c r="E15" i="13"/>
  <c r="E23" i="13"/>
  <c r="E18" i="13"/>
  <c r="V18" i="13" s="1"/>
  <c r="I28" i="16"/>
  <c r="AA39" i="12"/>
  <c r="I14" i="16"/>
  <c r="L14" i="16"/>
  <c r="C14" i="16"/>
  <c r="L19" i="16"/>
  <c r="C19" i="16"/>
  <c r="F57" i="1"/>
  <c r="H18" i="13" l="1"/>
  <c r="Y18" i="13" s="1"/>
  <c r="H11" i="16"/>
  <c r="Y11" i="16" s="1"/>
  <c r="E15" i="15"/>
  <c r="V15" i="15" s="1"/>
  <c r="H29" i="16"/>
  <c r="Y29" i="16" s="1"/>
  <c r="E25" i="15"/>
  <c r="V25" i="15" s="1"/>
  <c r="E22" i="15"/>
  <c r="H22" i="15" s="1"/>
  <c r="H23" i="16"/>
  <c r="Y23" i="16" s="1"/>
  <c r="C53" i="15"/>
  <c r="E24" i="15"/>
  <c r="E28" i="15"/>
  <c r="H27" i="15"/>
  <c r="Y27" i="15" s="1"/>
  <c r="E27" i="15"/>
  <c r="E23" i="15"/>
  <c r="H23" i="15" s="1"/>
  <c r="Y23"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V11" i="15" s="1"/>
  <c r="K23" i="16"/>
  <c r="AB23" i="16" s="1"/>
  <c r="E18" i="15"/>
  <c r="H18" i="15" s="1"/>
  <c r="Y18" i="15" s="1"/>
  <c r="E26" i="15"/>
  <c r="E10" i="15"/>
  <c r="H10" i="15" s="1"/>
  <c r="Y10" i="15" s="1"/>
  <c r="E19" i="15"/>
  <c r="H19" i="15" s="1"/>
  <c r="Y19" i="15" s="1"/>
  <c r="O32" i="15"/>
  <c r="P32" i="15" s="1"/>
  <c r="E29" i="15"/>
  <c r="F29" i="15" s="1"/>
  <c r="E13" i="15"/>
  <c r="E28" i="13"/>
  <c r="F28" i="13" s="1"/>
  <c r="F31" i="13" s="1"/>
  <c r="O33" i="13"/>
  <c r="P33" i="13" s="1"/>
  <c r="H13" i="13"/>
  <c r="Y13" i="13" s="1"/>
  <c r="O31" i="13"/>
  <c r="O32" i="13"/>
  <c r="P32" i="13" s="1"/>
  <c r="V28" i="15"/>
  <c r="I28" i="13"/>
  <c r="C31" i="13"/>
  <c r="C31" i="15"/>
  <c r="V19" i="16"/>
  <c r="H19" i="16"/>
  <c r="Y19" i="16" s="1"/>
  <c r="V22" i="16"/>
  <c r="V12" i="15"/>
  <c r="H12" i="15"/>
  <c r="Y12" i="15" s="1"/>
  <c r="F31" i="15"/>
  <c r="K18" i="16"/>
  <c r="AB18" i="16" s="1"/>
  <c r="H11" i="15"/>
  <c r="Y11" i="15" s="1"/>
  <c r="H16" i="13"/>
  <c r="A44" i="16"/>
  <c r="A44" i="13"/>
  <c r="A44" i="15"/>
  <c r="F8" i="17"/>
  <c r="F10" i="17" s="1"/>
  <c r="C40" i="15"/>
  <c r="C47" i="15" s="1"/>
  <c r="C54" i="15" s="1"/>
  <c r="F66" i="1"/>
  <c r="F68" i="1" s="1"/>
  <c r="F69" i="1" s="1"/>
  <c r="I31" i="16"/>
  <c r="V26" i="16"/>
  <c r="V28" i="16"/>
  <c r="V23" i="13"/>
  <c r="H23" i="13"/>
  <c r="Y23" i="13" s="1"/>
  <c r="V21" i="16"/>
  <c r="K21" i="16"/>
  <c r="AB21" i="16" s="1"/>
  <c r="H22" i="16"/>
  <c r="Y22" i="16" s="1"/>
  <c r="H16" i="15"/>
  <c r="H28" i="15"/>
  <c r="I28" i="15" s="1"/>
  <c r="V13" i="15"/>
  <c r="H13" i="15"/>
  <c r="Y13" i="15" s="1"/>
  <c r="A37" i="16"/>
  <c r="A37" i="15"/>
  <c r="A37" i="13"/>
  <c r="V20" i="16"/>
  <c r="K16" i="16"/>
  <c r="AB16" i="16" s="1"/>
  <c r="V14" i="16"/>
  <c r="K14" i="16"/>
  <c r="AB14" i="16" s="1"/>
  <c r="K24" i="16"/>
  <c r="AB24" i="16" s="1"/>
  <c r="V24" i="16"/>
  <c r="V22" i="15"/>
  <c r="V17" i="15"/>
  <c r="V22" i="13"/>
  <c r="H22" i="13"/>
  <c r="Y22" i="13" s="1"/>
  <c r="K18" i="13"/>
  <c r="AB18" i="13" s="1"/>
  <c r="V11" i="16"/>
  <c r="H15" i="13"/>
  <c r="Y15" i="13" s="1"/>
  <c r="K15" i="13"/>
  <c r="AB15" i="13" s="1"/>
  <c r="V15" i="13"/>
  <c r="F31" i="16"/>
  <c r="H24" i="13"/>
  <c r="Y24" i="13" s="1"/>
  <c r="V24" i="13"/>
  <c r="V12" i="16"/>
  <c r="K12" i="16"/>
  <c r="AB12" i="16" s="1"/>
  <c r="H29" i="13"/>
  <c r="C40" i="13"/>
  <c r="C47" i="13" s="1"/>
  <c r="C54" i="13" s="1"/>
  <c r="D8" i="17"/>
  <c r="D10" i="17" s="1"/>
  <c r="E66" i="1"/>
  <c r="E68" i="1" s="1"/>
  <c r="E69" i="1" s="1"/>
  <c r="K25" i="16"/>
  <c r="AB25" i="16" s="1"/>
  <c r="V25" i="16"/>
  <c r="H15" i="16"/>
  <c r="Y15" i="16" s="1"/>
  <c r="H28" i="16"/>
  <c r="Y28" i="16" s="1"/>
  <c r="V20" i="15"/>
  <c r="K20" i="15"/>
  <c r="AB20"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L31" i="16"/>
  <c r="Y22" i="15" l="1"/>
  <c r="K22" i="15"/>
  <c r="AB22" i="15" s="1"/>
  <c r="K11" i="16"/>
  <c r="AB11" i="16" s="1"/>
  <c r="H29" i="15"/>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13" i="15"/>
  <c r="AB13" i="15" s="1"/>
  <c r="K10" i="15"/>
  <c r="AB10" i="15" s="1"/>
  <c r="V11" i="13"/>
  <c r="H11" i="13"/>
  <c r="V25" i="13"/>
  <c r="H25" i="13"/>
  <c r="H17" i="13"/>
  <c r="Y17" i="13" s="1"/>
  <c r="V14" i="13"/>
  <c r="H14" i="13"/>
  <c r="Y14" i="13" s="1"/>
  <c r="K22" i="13"/>
  <c r="AB22" i="13" s="1"/>
  <c r="H26" i="13"/>
  <c r="Y26" i="13" s="1"/>
  <c r="V13" i="13"/>
  <c r="K13" i="13"/>
  <c r="AB13" i="13" s="1"/>
  <c r="V24" i="15"/>
  <c r="H24" i="15"/>
  <c r="Y29" i="15"/>
  <c r="I29" i="15"/>
  <c r="I31" i="15" s="1"/>
  <c r="K29" i="15"/>
  <c r="Y29" i="13"/>
  <c r="I29" i="13"/>
  <c r="I31" i="13" s="1"/>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K15" i="15"/>
  <c r="AB15" i="15" s="1"/>
  <c r="K21" i="15" l="1"/>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<sst xmlns="http://schemas.openxmlformats.org/spreadsheetml/2006/main" count="769" uniqueCount="268">
  <si>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</si>
  <si>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</si>
  <si>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</si>
  <si>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</si>
  <si>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</si>
  <si>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</si>
  <si>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</si>
  <si>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</si>
  <si>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</si>
  <si>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</si>
  <si>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</si>
  <si>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</si>
  <si>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</si>
  <si>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</si>
  <si>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</si>
  <si>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</si>
  <si>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</si>
  <si>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</si>
  <si>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</si>
  <si>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</si>
  <si>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</si>
  <si>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</si>
  <si>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</si>
  <si>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</si>
  <si>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</si>
  <si>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</si>
  <si>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</si>
  <si>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</si>
  <si>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</si>
  <si>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</si>
  <si>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</si>
  <si>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</si>
  <si>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</si>
  <si>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</si>
  <si>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</si>
  <si>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</si>
  <si>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</si>
  <si>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</si>
  <si>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</si>
  <si>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</si>
  <si>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</si>
  <si>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</si>
  <si>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</si>
  <si>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</si>
  <si>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</si>
  <si>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</si>
  <si>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</si>
  <si>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</si>
  <si>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</si>
  <si>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</si>
  <si>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</si>
  <si>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</si>
  <si>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</si>
  <si>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</si>
  <si>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</si>
  <si>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</si>
  <si>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</si>
  <si>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</si>
  <si>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</si>
  <si>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</si>
  <si>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</si>
  <si>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</si>
  <si>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</si>
  <si>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</si>
  <si>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</si>
  <si>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</si>
  <si>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</si>
  <si>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</si>
  <si>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</si>
  <si>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</si>
  <si>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</si>
  <si>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</si>
  <si>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</si>
  <si>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</si>
  <si>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</si>
  <si>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</si>
  <si>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</si>
  <si>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</si>
  <si>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</si>
  <si>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</si>
  <si>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</si>
  <si>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</si>
  <si>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</si>
  <si>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</si>
  <si>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</si>
  <si>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</si>
  <si>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</si>
  <si>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</si>
  <si>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</si>
  <si>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</si>
  <si>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</si>
  <si>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</si>
  <si>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</si>
  <si>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</si>
  <si>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</si>
  <si>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</si>
  <si>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</si>
  <si>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</si>
  <si>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</si>
  <si>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</si>
  <si>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</si>
  <si>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</si>
  <si>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</si>
  <si>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</si>
  <si>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</si>
  <si>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</si>
  <si>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</si>
  <si>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</si>
  <si>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</si>
  <si>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</si>
  <si>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</si>
  <si>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</si>
  <si>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</si>
  <si>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</si>
  <si>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</si>
  <si>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</si>
  <si>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</si>
  <si>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</si>
  <si>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</si>
  <si>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</si>
  <si>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</si>
  <si>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</si>
  <si>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</si>
  <si>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</si>
  <si>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</si>
  <si>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</si>
  <si>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</si>
  <si>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</si>
  <si>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</si>
  <si>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</si>
  <si>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</si>
  <si>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</si>
  <si>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</si>
  <si>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</si>
  <si>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</si>
  <si>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</si>
  <si>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</si>
  <si>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</si>
  <si>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</si>
  <si>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</si>
  <si>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</si>
  <si>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</si>
  <si>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</si>
  <si>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</si>
  <si>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</si>
  <si>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</si>
  <si>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</si>
  <si>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</si>
  <si>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</si>
  <si>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</si>
  <si>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</si>
  <si>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</si>
  <si>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</si>
  <si>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</si>
  <si>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</si>
  <si>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</si>
  <si>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</si>
  <si>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</si>
  <si>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</si>
  <si>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</si>
  <si>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</si>
  <si>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</si>
  <si>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</si>
  <si>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</si>
  <si>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</si>
  <si>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</si>
  <si>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</si>
  <si>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</si>
  <si>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</si>
  <si>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</si>
  <si>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</si>
  <si>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</si>
  <si>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</si>
  <si>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</si>
  <si>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</si>
  <si>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</si>
  <si>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</si>
  <si>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</si>
  <si>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</si>
  <si>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</si>
  <si>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</si>
  <si>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Family Deductible</t>
  </si>
  <si>
    <t>Embedded Individual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</si>
  <si>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</si>
  <si>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</si>
  <si>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</si>
  <si>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</si>
  <si>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</si>
  <si>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</si>
  <si>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</si>
  <si>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</si>
  <si>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</si>
  <si>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</si>
  <si>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</si>
  <si>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</si>
  <si>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</si>
  <si>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</si>
  <si>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</si>
  <si>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</si>
  <si>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</si>
  <si>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</si>
  <si>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</si>
  <si>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</si>
  <si>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</si>
  <si>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</si>
  <si>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</si>
  <si>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</si>
  <si>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</si>
  <si>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</si>
  <si>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</si>
  <si>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</si>
  <si>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</si>
  <si>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</si>
  <si>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</si>
  <si>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</si>
  <si>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</si>
  <si>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</si>
  <si>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</si>
  <si>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</si>
  <si>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</si>
  <si>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</si>
  <si>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</si>
  <si>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</si>
  <si>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</si>
  <si>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</si>
  <si>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</si>
  <si>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</si>
  <si>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</si>
  <si>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</si>
  <si>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</si>
  <si>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</si>
  <si>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</si>
  <si>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</si>
  <si>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</si>
  <si>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</si>
  <si>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</si>
  <si>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</si>
  <si>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</si>
  <si>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</si>
  <si>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</si>
  <si>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</si>
  <si>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</si>
  <si>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</si>
  <si>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</si>
  <si>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</si>
  <si>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</si>
  <si>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</si>
  <si>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</si>
  <si>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</si>
  <si>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</si>
  <si>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</si>
  <si>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</si>
  <si>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</si>
  <si>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</si>
  <si>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</si>
  <si>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</si>
  <si>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</si>
  <si>
    <t>$500</t>
  </si>
  <si>
    <t>$3,000</t>
  </si>
  <si>
    <t>$6,000</t>
  </si>
  <si>
    <t>$25 (dw)</t>
  </si>
  <si>
    <t>$40 (dw)</t>
  </si>
  <si>
    <t>$1,000</t>
  </si>
  <si>
    <t>$12,000</t>
  </si>
  <si>
    <t>2022-23</t>
  </si>
  <si>
    <t>x</t>
  </si>
  <si>
    <t>ER HSA/HRA contrib (annual)</t>
  </si>
  <si>
    <t>If you use your Green Diamond's HSA contributions, your net estimated annual cost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</si>
</sst>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5">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9">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167" fontId="36" fillId="0" borderId="0" xfId="0" applyNumberFormat="1" applyFont="1" applyBorder="1" applyAlignment="1">
      <alignment vertical="center"/>
    </xf>
    <xf numFmtId="164" fontId="36" fillId="0" borderId="0" xfId="0" applyNumberFormat="1" applyFont="1" applyBorder="1" applyAlignment="1">
      <alignment vertical="center"/>
    </xf>
    <xf numFmtId="0" fontId="122" fillId="0" borderId="0" xfId="188" applyFont="1"/>
    <xf numFmtId="0" fontId="123"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1" fillId="0" borderId="0" xfId="185" applyFont="1" applyBorder="1">
      <alignment horizontal="right" indent="1"/>
    </xf>
    <xf numFmtId="164" fontId="54" fillId="0" borderId="40" xfId="188" applyNumberFormat="1" applyFont="1" applyBorder="1" applyAlignment="1">
      <alignment horizontal="right" indent="1"/>
    </xf>
    <xf numFmtId="164" fontId="54" fillId="0" borderId="42" xfId="188" applyNumberFormat="1" applyFont="1" applyBorder="1" applyAlignment="1">
      <alignment horizontal="right" indent="1"/>
    </xf>
    <xf numFmtId="167" fontId="54" fillId="0" borderId="42" xfId="188" applyNumberFormat="1" applyFont="1" applyBorder="1" applyAlignment="1">
      <alignment horizontal="right" indent="1"/>
    </xf>
    <xf numFmtId="168" fontId="43" fillId="43" borderId="42" xfId="188" applyNumberFormat="1" applyFont="1" applyFill="1" applyBorder="1" applyAlignment="1">
      <alignment horizontal="right" indent="1"/>
    </xf>
    <xf numFmtId="0" fontId="37" fillId="3" borderId="0" xfId="0" applyFont="1" applyFill="1" applyBorder="1" applyAlignment="1" applyProtection="1">
      <alignment vertical="top" wrapText="1"/>
    </xf>
    <xf numFmtId="0" fontId="38" fillId="0" borderId="43" xfId="0" applyFont="1" applyBorder="1" applyAlignment="1">
      <alignment vertical="center"/>
    </xf>
    <xf numFmtId="164" fontId="115" fillId="0" borderId="44" xfId="0" applyNumberFormat="1" applyFont="1" applyFill="1" applyBorder="1" applyAlignment="1">
      <alignment horizontal="left" vertical="center"/>
    </xf>
    <xf numFmtId="164" fontId="114" fillId="0" borderId="44" xfId="0" applyNumberFormat="1" applyFont="1" applyBorder="1" applyAlignment="1">
      <alignment horizontal="left" vertical="center"/>
    </xf>
    <xf numFmtId="164" fontId="115" fillId="0" borderId="44" xfId="0" applyNumberFormat="1" applyFont="1" applyBorder="1" applyAlignment="1">
      <alignment horizontal="left" vertical="center"/>
    </xf>
    <xf numFmtId="164" fontId="115" fillId="0" borderId="45" xfId="0" applyNumberFormat="1" applyFont="1" applyBorder="1" applyAlignment="1">
      <alignment horizontal="left" vertical="center"/>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I13" sqref="I13"/>
    </sheetView>
  </sheetViews>
  <sheetFormatPr defaultColWidth="9.140625" defaultRowHeight="15" outlineLevelRow="1"/>
  <cols>
    <col min="1" max="2" width="3.7109375" style="149" customWidth="1"/>
    <col min="3" max="3" width="100.42578125" style="149" customWidth="1"/>
    <col min="4" max="5" width="3.7109375" style="149" customWidth="1"/>
    <col min="6" max="16384" width="9.140625" style="149"/>
  </cols>
  <sheetData>
    <row r="1" spans="1:5" ht="18.75">
      <c r="A1" s="145"/>
      <c r="B1" s="146"/>
      <c r="C1" s="147" t="s">
        <v>128</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178</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2022-23 plan year (July 1, 2022 – June 30, 2023).  Unless you have a qualifying life event, you cannot change this election until next open enrollment.</v>
      </c>
      <c r="D5" s="151"/>
      <c r="E5" s="152"/>
    </row>
    <row r="6" spans="1:5" ht="17.100000000000001" customHeight="1">
      <c r="A6" s="150"/>
      <c r="B6" s="153"/>
      <c r="C6" s="155" t="s">
        <v>137</v>
      </c>
      <c r="D6" s="151"/>
      <c r="E6" s="152"/>
    </row>
    <row r="7" spans="1:5" ht="42" customHeight="1">
      <c r="A7" s="150"/>
      <c r="B7" s="153"/>
      <c r="C7" s="155" t="s">
        <v>246</v>
      </c>
      <c r="D7" s="151"/>
      <c r="E7" s="152"/>
    </row>
    <row r="8" spans="1:5" ht="17.100000000000001" customHeight="1">
      <c r="A8" s="150"/>
      <c r="B8" s="153"/>
      <c r="C8" s="155" t="s">
        <v>138</v>
      </c>
      <c r="D8" s="151"/>
      <c r="E8" s="152"/>
    </row>
    <row r="9" spans="1:5" ht="54.75" customHeight="1">
      <c r="A9" s="150"/>
      <c r="B9" s="153"/>
      <c r="C9" s="155" t="s">
        <v>173</v>
      </c>
      <c r="D9" s="151"/>
      <c r="E9" s="152"/>
    </row>
    <row r="10" spans="1:5" ht="17.100000000000001" customHeight="1">
      <c r="A10" s="150"/>
      <c r="B10" s="153"/>
      <c r="C10" s="155" t="s">
        <v>139</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247</v>
      </c>
      <c r="D13" s="151"/>
      <c r="E13" s="152"/>
    </row>
    <row r="14" spans="1:5">
      <c r="A14" s="150"/>
      <c r="B14" s="153" t="s">
        <v>11</v>
      </c>
      <c r="C14" s="154" t="s">
        <v>17</v>
      </c>
      <c r="D14" s="151"/>
      <c r="E14" s="152"/>
    </row>
    <row r="15" spans="1:5" ht="17.100000000000001" customHeight="1">
      <c r="A15" s="150"/>
      <c r="B15" s="153"/>
      <c r="C15" s="189" t="s">
        <v>18</v>
      </c>
      <c r="D15" s="151"/>
      <c r="E15" s="152"/>
    </row>
    <row r="16" spans="1:5" ht="17.100000000000001" customHeight="1">
      <c r="A16" s="156"/>
      <c r="B16" s="157"/>
      <c r="C16" s="190" t="str">
        <f>"- All care is received from "&amp;Carrier&amp;" in-network providers."</f>
        <v>- All care is received from Premera in-network providers.</v>
      </c>
      <c r="D16" s="158"/>
      <c r="E16" s="159"/>
    </row>
    <row r="17" spans="1:5" ht="17.100000000000001"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$205 primary care, $140 physical/occupational therapy and massage, $82 chiropractic/acupuncture and $350 for medical or surgical specialists.</v>
      </c>
      <c r="D18" s="151"/>
      <c r="E18" s="152"/>
    </row>
    <row r="19" spans="1:5">
      <c r="A19" s="150"/>
      <c r="B19" s="153"/>
      <c r="C19" s="190" t="str">
        <f>"- Lab and x-ray services cost an average of "&amp;TEXT(Cost__Lab,"$#,###")&amp;" per service."</f>
        <v>- Lab and x-ray services cost an average of $225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$2,300 per service. (Actual costs vary significantly depending on facility, body part and whether contrast is used).</v>
      </c>
      <c r="D20" s="151"/>
      <c r="E20" s="152"/>
    </row>
    <row r="21" spans="1:5" hidden="1" outlineLevel="1">
      <c r="A21" s="150"/>
      <c r="B21" s="153"/>
      <c r="C21" s="190" t="s">
        <v>226</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$33 / $95 / $315 / $390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$90 / $135 / $1,750 / $2,450 per month (preferred generic/non-preferred generic/preferred brand/non-preferred brand).</v>
      </c>
      <c r="D23" s="151"/>
      <c r="E23" s="152"/>
    </row>
    <row r="24" spans="1:5" ht="29.25" customHeight="1">
      <c r="A24" s="150"/>
      <c r="B24" s="153"/>
      <c r="C24" s="19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51"/>
      <c r="E24" s="152"/>
    </row>
    <row r="25" spans="1:5" ht="17.25" customHeight="1">
      <c r="A25" s="150"/>
      <c r="B25" s="153"/>
      <c r="C25" s="190" t="s">
        <v>121</v>
      </c>
      <c r="D25" s="151"/>
      <c r="E25" s="152"/>
    </row>
    <row r="26" spans="1:5" ht="31.5" customHeight="1">
      <c r="A26" s="150"/>
      <c r="B26" s="153" t="s">
        <v>12</v>
      </c>
      <c r="C26" s="154" t="s">
        <v>32</v>
      </c>
      <c r="D26" s="151"/>
      <c r="E26" s="152"/>
    </row>
    <row r="27" spans="1:5" ht="15.75" thickBot="1">
      <c r="A27" s="160"/>
      <c r="B27" s="161" t="s">
        <v>13</v>
      </c>
      <c r="C27" s="162" t="s">
        <v>130</v>
      </c>
      <c r="D27" s="163"/>
      <c r="E27" s="164"/>
    </row>
  </sheetData>
  <sheetProtection algorithmName="SHA-512" hashValue="iP0tVNXw59PGXb5LZZYcQgUj5GSzF1fP4i9mu/G6BbvD1Tf1URWbFQK6ULTZ69/FcC3Ib/WDMwyeXOrqy7RmEw==" saltValue="CbPGm+KK0WucV3ecA6JcwQ=="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topLeftCell="A49" zoomScaleNormal="100" workbookViewId="0">
      <selection activeCell="G47" sqref="G47"/>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7" customWidth="1"/>
    <col min="10" max="10" width="10.7109375" style="243" hidden="1" customWidth="1"/>
    <col min="11" max="11" width="10.7109375" style="244" hidden="1" customWidth="1"/>
    <col min="12" max="16384" width="9.140625" style="37"/>
  </cols>
  <sheetData>
    <row r="1" spans="2:11" ht="10.15" customHeight="1">
      <c r="I1" s="35"/>
      <c r="J1" s="243" t="s">
        <v>209</v>
      </c>
      <c r="K1" s="243" t="s">
        <v>209</v>
      </c>
    </row>
    <row r="2" spans="2:11" ht="20.100000000000001" customHeight="1">
      <c r="B2" s="4"/>
      <c r="C2" s="5" t="s">
        <v>129</v>
      </c>
      <c r="D2" s="6"/>
      <c r="E2" s="6"/>
      <c r="F2" s="6"/>
      <c r="G2" s="6"/>
      <c r="H2" s="4"/>
    </row>
    <row r="3" spans="2:11" ht="5.0999999999999996"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2022-23 plan year (July 1, 2022 – June 30, 2023) by clicking the appropropriate button on the right.</v>
      </c>
      <c r="D4" s="173"/>
      <c r="E4" s="178"/>
      <c r="F4" s="178"/>
      <c r="G4" s="178"/>
      <c r="H4" s="175"/>
      <c r="J4" s="245">
        <v>1</v>
      </c>
      <c r="K4" s="244" t="s">
        <v>156</v>
      </c>
    </row>
    <row r="5" spans="2:11" ht="20.100000000000001" customHeight="1">
      <c r="B5" s="173"/>
      <c r="C5" s="179"/>
      <c r="D5" s="173"/>
      <c r="E5" s="173"/>
      <c r="F5" s="180" t="s">
        <v>2</v>
      </c>
      <c r="G5" s="172"/>
      <c r="H5" s="175"/>
      <c r="J5" s="243">
        <f>IF($J$4=1,1,0)</f>
        <v>1</v>
      </c>
      <c r="K5" s="244">
        <v>1</v>
      </c>
    </row>
    <row r="6" spans="2:11" ht="20.100000000000001" customHeight="1">
      <c r="B6" s="173"/>
      <c r="C6" s="179"/>
      <c r="D6" s="173"/>
      <c r="E6" s="173"/>
      <c r="F6" s="180" t="s">
        <v>31</v>
      </c>
      <c r="G6" s="172"/>
      <c r="H6" s="175"/>
      <c r="J6" s="243">
        <f>IF($J$4=2,1,0)</f>
        <v>0</v>
      </c>
      <c r="K6" s="244">
        <v>2</v>
      </c>
    </row>
    <row r="7" spans="2:11" ht="20.100000000000001" customHeight="1">
      <c r="B7" s="173"/>
      <c r="C7" s="179"/>
      <c r="D7" s="173"/>
      <c r="E7" s="173"/>
      <c r="F7" s="180" t="s">
        <v>26</v>
      </c>
      <c r="G7" s="172"/>
      <c r="H7" s="175"/>
      <c r="J7" s="243">
        <f>IF($J$4=3,1,0)</f>
        <v>0</v>
      </c>
      <c r="K7" s="244">
        <v>2</v>
      </c>
    </row>
    <row r="8" spans="2:11" ht="20.100000000000001" customHeight="1">
      <c r="B8" s="173"/>
      <c r="C8" s="179"/>
      <c r="D8" s="173"/>
      <c r="E8" s="173"/>
      <c r="F8" s="180" t="s">
        <v>19</v>
      </c>
      <c r="G8" s="172"/>
      <c r="H8" s="175"/>
      <c r="J8" s="243">
        <f>IF($J$4=4,1,0)</f>
        <v>0</v>
      </c>
      <c r="K8" s="244">
        <v>3</v>
      </c>
    </row>
    <row r="9" spans="2:11" ht="20.100000000000001" customHeight="1">
      <c r="B9" s="173"/>
      <c r="C9" s="179"/>
      <c r="D9" s="173"/>
      <c r="E9" s="173"/>
      <c r="F9" s="180" t="s">
        <v>24</v>
      </c>
      <c r="G9" s="172"/>
      <c r="H9" s="175"/>
      <c r="J9" s="243">
        <f>IF($J$4=5,1,0)</f>
        <v>0</v>
      </c>
      <c r="K9" s="244">
        <v>3</v>
      </c>
    </row>
    <row r="10" spans="2:11" ht="20.100000000000001" customHeight="1">
      <c r="B10" s="173"/>
      <c r="C10" s="181"/>
      <c r="D10" s="173"/>
      <c r="E10" s="173"/>
      <c r="F10" s="180" t="s">
        <v>23</v>
      </c>
      <c r="G10" s="172"/>
      <c r="H10" s="175"/>
      <c r="J10" s="243">
        <f>IF($J$4=6,1,0)</f>
        <v>0</v>
      </c>
      <c r="K10" s="244">
        <v>4</v>
      </c>
    </row>
    <row r="11" spans="2:11" ht="5.0999999999999996" customHeight="1">
      <c r="B11" s="173"/>
      <c r="C11" s="175"/>
      <c r="D11" s="173"/>
      <c r="E11" s="173"/>
      <c r="F11" s="173"/>
      <c r="G11" s="173"/>
      <c r="H11" s="175"/>
    </row>
    <row r="12" spans="2:11" ht="6" customHeight="1">
      <c r="B12" s="13"/>
      <c r="C12" s="14"/>
      <c r="D12" s="13"/>
      <c r="E12" s="13"/>
      <c r="F12" s="13"/>
      <c r="G12" s="13"/>
      <c r="H12" s="4"/>
    </row>
    <row r="13" spans="2:11" ht="5.0999999999999996" customHeight="1">
      <c r="B13" s="173"/>
      <c r="C13" s="175"/>
      <c r="D13" s="173"/>
      <c r="E13" s="173"/>
      <c r="F13" s="173"/>
      <c r="G13" s="173"/>
      <c r="H13" s="175"/>
    </row>
    <row r="14" spans="2:11" ht="51.75" customHeight="1">
      <c r="B14" s="176" t="s">
        <v>8</v>
      </c>
      <c r="C14" s="177" t="s">
        <v>243</v>
      </c>
      <c r="D14" s="182" t="s">
        <v>36</v>
      </c>
      <c r="E14" s="182" t="s">
        <v>232</v>
      </c>
      <c r="F14" s="182" t="s">
        <v>231</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43">
        <f>INDEX(K5:K10,J4)*Asmpt!C21</f>
        <v>12</v>
      </c>
      <c r="K16" s="244">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0999999999999996" customHeight="1">
      <c r="B18" s="173"/>
      <c r="C18" s="175"/>
      <c r="D18" s="173"/>
      <c r="E18" s="173"/>
      <c r="F18" s="173"/>
      <c r="G18" s="173"/>
      <c r="H18" s="175"/>
    </row>
    <row r="19" spans="1:13" ht="6" customHeight="1">
      <c r="B19" s="13"/>
      <c r="C19" s="4"/>
      <c r="D19" s="13"/>
      <c r="E19" s="13"/>
      <c r="F19" s="13"/>
      <c r="G19" s="13"/>
      <c r="H19" s="4"/>
    </row>
    <row r="20" spans="1:13" ht="5.0999999999999996" customHeight="1">
      <c r="B20" s="7"/>
      <c r="C20" s="8"/>
      <c r="D20" s="7"/>
      <c r="E20" s="7"/>
      <c r="F20" s="7"/>
      <c r="G20" s="7"/>
      <c r="H20" s="8"/>
    </row>
    <row r="21" spans="1:13" customFormat="1" ht="93.75" customHeight="1">
      <c r="A21" s="1"/>
      <c r="B21" s="9" t="s">
        <v>9</v>
      </c>
      <c r="C21" s="263" t="s">
        <v>248</v>
      </c>
      <c r="D21" s="263"/>
      <c r="E21" s="16"/>
      <c r="F21" s="16"/>
      <c r="G21" s="16"/>
      <c r="H21" s="15"/>
      <c r="I21" s="37"/>
      <c r="J21" s="243"/>
      <c r="K21" s="246"/>
    </row>
    <row r="22" spans="1:13" customFormat="1" ht="18" customHeight="1">
      <c r="A22" s="1"/>
      <c r="B22" s="9"/>
      <c r="C22" s="230"/>
      <c r="D22" s="228"/>
      <c r="E22" s="10"/>
      <c r="F22" s="17" t="s">
        <v>14</v>
      </c>
      <c r="G22" s="17" t="s">
        <v>15</v>
      </c>
      <c r="H22" s="15"/>
      <c r="I22" s="37"/>
      <c r="J22" s="243"/>
      <c r="K22" s="246"/>
      <c r="M22" s="225"/>
    </row>
    <row r="23" spans="1:13" customFormat="1" ht="15.4" customHeight="1">
      <c r="A23" s="1"/>
      <c r="B23" s="7"/>
      <c r="C23" s="18" t="str">
        <f>IF(OR(MIN(F23:G30)&lt;0,ISERROR(SUM(F23:G30)+1)),"Please enter non-negative numbers for prescriptions.","")</f>
        <v/>
      </c>
      <c r="D23" s="228"/>
      <c r="E23" s="227" t="s">
        <v>211</v>
      </c>
      <c r="F23" s="188">
        <v>0</v>
      </c>
      <c r="G23" s="188">
        <v>0</v>
      </c>
      <c r="H23" s="8"/>
      <c r="I23" s="37"/>
      <c r="J23" s="243"/>
      <c r="K23" s="246"/>
      <c r="M23" s="225"/>
    </row>
    <row r="24" spans="1:13" customFormat="1" ht="15.4" customHeight="1">
      <c r="A24" s="1"/>
      <c r="B24" s="7"/>
      <c r="C24" s="18"/>
      <c r="D24" s="228"/>
      <c r="E24" s="227" t="s">
        <v>212</v>
      </c>
      <c r="F24" s="188">
        <v>0</v>
      </c>
      <c r="G24" s="188">
        <v>0</v>
      </c>
      <c r="H24" s="8"/>
      <c r="I24" s="37"/>
      <c r="J24" s="243"/>
      <c r="K24" s="246"/>
      <c r="M24" s="225"/>
    </row>
    <row r="25" spans="1:13" customFormat="1" ht="15.4" customHeight="1">
      <c r="A25" s="1"/>
      <c r="B25" s="7"/>
      <c r="C25" s="11"/>
      <c r="D25" s="228"/>
      <c r="E25" s="227" t="s">
        <v>3</v>
      </c>
      <c r="F25" s="188">
        <v>0</v>
      </c>
      <c r="G25" s="188">
        <v>0</v>
      </c>
      <c r="H25" s="8"/>
      <c r="I25" s="37"/>
      <c r="J25" s="243"/>
      <c r="K25" s="246"/>
    </row>
    <row r="26" spans="1:13" customFormat="1" ht="15.4" customHeight="1">
      <c r="A26" s="1"/>
      <c r="B26" s="7"/>
      <c r="C26" s="11"/>
      <c r="D26" s="228"/>
      <c r="E26" s="227" t="s">
        <v>4</v>
      </c>
      <c r="F26" s="188">
        <v>0</v>
      </c>
      <c r="G26" s="188">
        <v>0</v>
      </c>
      <c r="H26" s="8"/>
      <c r="I26" s="37"/>
      <c r="J26" s="243"/>
      <c r="K26" s="246"/>
    </row>
    <row r="27" spans="1:13" customFormat="1" ht="15.4" customHeight="1">
      <c r="A27" s="1"/>
      <c r="B27" s="7"/>
      <c r="C27" s="11"/>
      <c r="D27" s="228"/>
      <c r="E27" s="227"/>
      <c r="F27" s="229"/>
      <c r="G27" s="229"/>
      <c r="H27" s="8"/>
      <c r="I27" s="37"/>
      <c r="J27" s="243"/>
      <c r="K27" s="246"/>
    </row>
    <row r="28" spans="1:13" customFormat="1" ht="15.4" customHeight="1">
      <c r="A28" s="1"/>
      <c r="B28" s="7"/>
      <c r="C28" s="11"/>
      <c r="D28" s="228"/>
      <c r="E28" s="227"/>
      <c r="F28" s="17" t="s">
        <v>221</v>
      </c>
      <c r="G28" s="229"/>
      <c r="H28" s="8"/>
      <c r="I28" s="37"/>
      <c r="J28" s="243"/>
      <c r="K28" s="246"/>
    </row>
    <row r="29" spans="1:13" customFormat="1" ht="15.4" customHeight="1">
      <c r="A29" s="1"/>
      <c r="B29" s="7"/>
      <c r="C29" s="11"/>
      <c r="D29" s="228"/>
      <c r="E29" s="227" t="s">
        <v>222</v>
      </c>
      <c r="F29" s="188">
        <v>0</v>
      </c>
      <c r="G29" s="16"/>
      <c r="H29" s="8"/>
      <c r="I29" s="37"/>
      <c r="J29" s="243"/>
      <c r="K29" s="246"/>
    </row>
    <row r="30" spans="1:13" customFormat="1" ht="15.4" customHeight="1">
      <c r="A30" s="1"/>
      <c r="B30" s="7"/>
      <c r="C30" s="11"/>
      <c r="D30" s="228"/>
      <c r="E30" s="227" t="s">
        <v>223</v>
      </c>
      <c r="F30" s="188">
        <v>0</v>
      </c>
      <c r="G30" s="16"/>
      <c r="H30" s="8"/>
      <c r="I30" s="37"/>
      <c r="J30" s="243"/>
      <c r="K30" s="246"/>
    </row>
    <row r="31" spans="1:13" ht="5.0999999999999996" customHeight="1">
      <c r="B31" s="7"/>
      <c r="C31" s="8"/>
      <c r="D31" s="7"/>
      <c r="E31" s="7"/>
      <c r="F31" s="7"/>
      <c r="G31" s="7"/>
      <c r="H31" s="8"/>
    </row>
    <row r="32" spans="1:13" ht="6" customHeight="1">
      <c r="B32" s="13"/>
      <c r="C32" s="20"/>
      <c r="D32" s="13"/>
      <c r="E32" s="13"/>
      <c r="F32" s="13"/>
      <c r="G32" s="13"/>
      <c r="H32" s="4"/>
    </row>
    <row r="33" spans="2:8" ht="5.0999999999999996" customHeight="1">
      <c r="B33" s="7"/>
      <c r="C33" s="8"/>
      <c r="D33" s="7"/>
      <c r="E33" s="7"/>
      <c r="F33" s="7"/>
      <c r="G33" s="7"/>
      <c r="H33" s="8"/>
    </row>
    <row r="34" spans="2:8" ht="52.5" customHeight="1">
      <c r="B34" s="9" t="s">
        <v>10</v>
      </c>
      <c r="C34" s="263" t="s">
        <v>143</v>
      </c>
      <c r="D34" s="263"/>
      <c r="E34" s="15"/>
      <c r="F34" s="15"/>
      <c r="G34" s="15"/>
      <c r="H34" s="15"/>
    </row>
    <row r="35" spans="2:8" ht="15.4" customHeight="1">
      <c r="B35" s="7"/>
      <c r="C35" s="11"/>
      <c r="D35" s="7"/>
      <c r="E35" s="19"/>
      <c r="F35" s="19" t="s">
        <v>228</v>
      </c>
      <c r="G35" s="188">
        <v>0</v>
      </c>
      <c r="H35" s="8"/>
    </row>
    <row r="36" spans="2:8" ht="15.4" customHeight="1">
      <c r="B36" s="7"/>
      <c r="C36" s="11"/>
      <c r="D36" s="7"/>
      <c r="E36" s="19"/>
      <c r="F36" s="19" t="s">
        <v>229</v>
      </c>
      <c r="G36" s="188">
        <v>0</v>
      </c>
      <c r="H36" s="8"/>
    </row>
    <row r="37" spans="2:8" ht="15.4" hidden="1" customHeight="1" outlineLevel="1">
      <c r="B37" s="7"/>
      <c r="C37" s="21" t="str">
        <f>IF(OR(G37&lt;0,G36&lt;0,G35&lt;0,ISERROR(G37+G36+G35+1)),"Please enter non-negative numbers for Outpatient Diagnostic Procedures.","")</f>
        <v/>
      </c>
      <c r="D37" s="7"/>
      <c r="E37" s="19"/>
      <c r="F37" s="19" t="s">
        <v>226</v>
      </c>
      <c r="G37" s="188"/>
      <c r="H37" s="8"/>
    </row>
    <row r="38" spans="2:8" ht="5.0999999999999996" customHeight="1" collapsed="1">
      <c r="B38" s="7"/>
      <c r="C38" s="8"/>
      <c r="D38" s="7"/>
      <c r="E38" s="7"/>
      <c r="F38" s="7"/>
      <c r="G38" s="7"/>
      <c r="H38" s="8"/>
    </row>
    <row r="39" spans="2:8" ht="6" customHeight="1">
      <c r="B39" s="13"/>
      <c r="C39" s="4"/>
      <c r="D39" s="13"/>
      <c r="E39" s="13"/>
      <c r="F39" s="13"/>
      <c r="G39" s="13"/>
      <c r="H39" s="4"/>
    </row>
    <row r="40" spans="2:8" ht="5.0999999999999996" customHeight="1">
      <c r="B40" s="7"/>
      <c r="C40" s="8"/>
      <c r="D40" s="7"/>
      <c r="E40" s="7"/>
      <c r="F40" s="7"/>
      <c r="G40" s="7"/>
      <c r="H40" s="8"/>
    </row>
    <row r="41" spans="2:8" ht="42.75" customHeight="1">
      <c r="B41" s="9" t="s">
        <v>11</v>
      </c>
      <c r="C41" s="10" t="s">
        <v>144</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0999999999999996" customHeight="1">
      <c r="B44" s="7"/>
      <c r="C44" s="8"/>
      <c r="D44" s="7"/>
      <c r="E44" s="7"/>
      <c r="F44" s="7"/>
      <c r="G44" s="7"/>
      <c r="H44" s="8"/>
    </row>
    <row r="45" spans="2:8" ht="51" customHeight="1">
      <c r="B45" s="9" t="s">
        <v>12</v>
      </c>
      <c r="C45" s="263" t="s">
        <v>242</v>
      </c>
      <c r="D45" s="263"/>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0999999999999996" customHeight="1">
      <c r="B47" s="7"/>
      <c r="C47" s="8"/>
      <c r="D47" s="7"/>
      <c r="E47" s="7"/>
      <c r="F47" s="7"/>
      <c r="G47" s="7"/>
      <c r="H47" s="8"/>
    </row>
    <row r="48" spans="2:8" ht="6" customHeight="1">
      <c r="B48" s="13"/>
      <c r="C48" s="23"/>
      <c r="D48" s="13"/>
      <c r="E48" s="24"/>
      <c r="F48" s="24"/>
      <c r="G48" s="24"/>
      <c r="H48" s="4"/>
    </row>
    <row r="49" spans="2:11" ht="5.0999999999999996" customHeight="1">
      <c r="B49" s="7"/>
      <c r="C49" s="8"/>
      <c r="D49" s="7"/>
      <c r="E49" s="7"/>
      <c r="F49" s="7"/>
      <c r="G49" s="7"/>
      <c r="H49" s="8"/>
    </row>
    <row r="50" spans="2:11" ht="41.25" customHeight="1">
      <c r="B50" s="9" t="s">
        <v>13</v>
      </c>
      <c r="C50" s="263"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63"/>
      <c r="E50" s="16"/>
      <c r="F50" s="16"/>
      <c r="G50" s="16"/>
      <c r="H50" s="15"/>
    </row>
    <row r="51" spans="2:11" ht="15.4" customHeight="1">
      <c r="B51" s="7"/>
      <c r="C51" s="39"/>
      <c r="D51" s="7"/>
      <c r="E51" s="19"/>
      <c r="F51" s="19" t="s">
        <v>20</v>
      </c>
      <c r="G51" s="191">
        <v>0</v>
      </c>
      <c r="H51" s="8"/>
      <c r="J51" s="243">
        <f>IF(J4=1,3500,7000)-INDEX(Asmpt!C184:C189,J4)</f>
        <v>2500</v>
      </c>
    </row>
    <row r="52" spans="2:11" ht="5.0999999999999996" customHeight="1">
      <c r="B52" s="7"/>
      <c r="C52" s="8"/>
      <c r="D52" s="7"/>
      <c r="E52" s="7"/>
      <c r="F52" s="7"/>
      <c r="G52" s="7"/>
      <c r="H52" s="8"/>
    </row>
    <row r="53" spans="2:11" ht="6" customHeight="1">
      <c r="B53" s="13"/>
      <c r="C53" s="25"/>
      <c r="D53" s="13"/>
      <c r="E53" s="13"/>
      <c r="F53" s="13"/>
      <c r="G53" s="13"/>
      <c r="H53" s="4"/>
    </row>
    <row r="54" spans="2:11" ht="12.75" customHeight="1">
      <c r="C54" s="1"/>
    </row>
    <row r="55" spans="2:11" ht="20.100000000000001" customHeight="1">
      <c r="B55" s="196"/>
      <c r="C55" s="197" t="str">
        <f>"Your "&amp;Asmpt!B10&amp;" Estimated Cost, Based on Your Responses"</f>
        <v>Your 2022-23 Estimated Cost, Based on Your Responses</v>
      </c>
      <c r="D55" s="198"/>
      <c r="E55" s="198"/>
      <c r="F55" s="198"/>
      <c r="G55" s="198"/>
      <c r="H55" s="196"/>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1272</v>
      </c>
      <c r="F57" s="45">
        <f>SUMPRODUCT($J5:$J10,Asmpt!C193:C198)*12</f>
        <v>804</v>
      </c>
      <c r="G57" s="45" t="str">
        <f>IF(G56="","",SUMPRODUCT($J5:$J10,Asmpt!D193:D198)*12)</f>
        <v/>
      </c>
      <c r="H57" s="46"/>
      <c r="J57" s="247"/>
      <c r="K57" s="248"/>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49"/>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6"/>
      <c r="C61" s="199" t="s">
        <v>16</v>
      </c>
      <c r="D61" s="200"/>
      <c r="E61" s="201">
        <f>SUM(E57:E60)</f>
        <v>1272</v>
      </c>
      <c r="F61" s="201">
        <f>SUM(F57:F60)</f>
        <v>804</v>
      </c>
      <c r="G61" s="201" t="str">
        <f>IF(G56="","",SUM(G57:G60))</f>
        <v/>
      </c>
      <c r="H61" s="202"/>
    </row>
    <row r="62" spans="2:11" ht="15.4" customHeight="1">
      <c r="B62" s="196"/>
      <c r="C62" s="199" t="s">
        <v>152</v>
      </c>
      <c r="D62" s="200"/>
      <c r="E62" s="201">
        <f>IF(Asmpt!B43="PPO",E61,E61-'Plan 1 Calcs'!C37)</f>
        <v>1272</v>
      </c>
      <c r="F62" s="201">
        <f>IF(Asmpt!C43="PPO",F61,F61+'Plan 2 Calcs'!C37)</f>
        <v>804</v>
      </c>
      <c r="G62" s="201" t="str">
        <f>IF(G56="","",IF(Asmpt!D43="HSA",G61+'Plan 3 Calcs'!C37,"NA"))</f>
        <v/>
      </c>
      <c r="H62" s="202"/>
      <c r="K62" s="250"/>
    </row>
    <row r="63" spans="2:11" ht="12.75" customHeight="1">
      <c r="C63" s="1"/>
      <c r="D63" s="12"/>
      <c r="E63" s="12"/>
      <c r="F63" s="12"/>
      <c r="G63" s="12"/>
    </row>
    <row r="64" spans="2:11" ht="20.100000000000001" customHeight="1">
      <c r="B64" s="26"/>
      <c r="C64" s="27" t="str">
        <f>"Your "&amp;Asmpt!B10&amp;" Maximum Cost ('Worst Case Scenario') *"</f>
        <v>Your 2022-23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1272</v>
      </c>
      <c r="F66" s="45">
        <f t="shared" si="1"/>
        <v>804</v>
      </c>
      <c r="G66" s="45" t="str">
        <f t="shared" si="1"/>
        <v/>
      </c>
      <c r="H66" s="46"/>
      <c r="J66" s="247"/>
      <c r="K66" s="248"/>
    </row>
    <row r="67" spans="2:11" ht="15.4" customHeight="1">
      <c r="B67" s="41"/>
      <c r="C67" s="44" t="str">
        <f>"Out-of-Pocket Costs (copays, deductible, and coinsurance)"&amp;REPT(".",200)</f>
        <v>Out-of-Pocket Costs (copays, deductible, and coinsurance)........................................................................................................................................................................................................</v>
      </c>
      <c r="D67" s="45" t="str">
        <f>REPT(".",30)</f>
        <v>..............................</v>
      </c>
      <c r="E67" s="45">
        <f>'Plan 1 Calcs'!C52</f>
        <v>3000</v>
      </c>
      <c r="F67" s="45">
        <f>'Plan 2 Calcs'!C52</f>
        <v>4500</v>
      </c>
      <c r="G67" s="45" t="str">
        <f>IF(G65="","",'Plan 3 Calcs'!C52)</f>
        <v/>
      </c>
      <c r="H67" s="46"/>
    </row>
    <row r="68" spans="2:11" ht="15.4" customHeight="1">
      <c r="B68" s="196"/>
      <c r="C68" s="199" t="s">
        <v>16</v>
      </c>
      <c r="D68" s="200"/>
      <c r="E68" s="201">
        <f>SUM(E66:E67)</f>
        <v>4272</v>
      </c>
      <c r="F68" s="201">
        <f>SUM(F66:F67)</f>
        <v>5304</v>
      </c>
      <c r="G68" s="201" t="str">
        <f>IF(G65="","",SUM(G66:G67))</f>
        <v/>
      </c>
      <c r="H68" s="202"/>
    </row>
    <row r="69" spans="2:11" ht="15.4" customHeight="1">
      <c r="B69" s="196"/>
      <c r="C69" s="199" t="s">
        <v>267</v>
      </c>
      <c r="D69" s="200"/>
      <c r="E69" s="201">
        <f>IF(Asmpt!B43="PPO",E68,E68-'Plan 1 Calcs'!C53)</f>
        <v>4272</v>
      </c>
      <c r="F69" s="201">
        <f>IF(Asmpt!C43="HSA",F68+'Plan 2 Calcs'!C53,"NA")</f>
        <v>4304</v>
      </c>
      <c r="G69" s="201" t="str">
        <f>IF(G65="","",IF(Asmpt!D53="HSA",G68+'Plan 3 Calcs'!C46,"NA"))</f>
        <v/>
      </c>
      <c r="H69" s="202"/>
    </row>
    <row r="70" spans="2:11" ht="13.5" customHeight="1">
      <c r="B70" s="29" t="s">
        <v>210</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PlE84DSb+z0+/Mgg64qjydEHMbB1kxRXFHg4OrdWiqjx15ev5PuPgKg1Aq+kE1+HGZ8ygNleEJ7iZ9LIDqAZmw==" saltValue="BmuOu6RJw9V0JGnWjpDCsQ==" spinCount="100000" sheet="1" objects="1" scenario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212" customWidth="1"/>
    <col min="2" max="2" width="38.5703125" style="211" customWidth="1"/>
    <col min="3" max="3" width="5.140625" style="211" customWidth="1"/>
    <col min="4" max="4" width="12" style="211" customWidth="1"/>
    <col min="5" max="5" width="5.140625" style="211" customWidth="1"/>
    <col min="6" max="6" width="12" style="211" customWidth="1"/>
    <col min="7" max="7" width="5.140625" style="211" customWidth="1"/>
    <col min="8" max="8" width="12" style="140" customWidth="1"/>
    <col min="9" max="9" width="1.5703125" style="212" customWidth="1"/>
    <col min="10" max="16384" width="9.140625" style="211"/>
  </cols>
  <sheetData>
    <row r="1" spans="1:11" s="209" customFormat="1" ht="10.5" customHeight="1">
      <c r="A1" s="36"/>
      <c r="B1" s="36"/>
      <c r="C1" s="36"/>
      <c r="D1" s="206"/>
      <c r="E1" s="36"/>
      <c r="F1" s="38"/>
      <c r="G1" s="36"/>
      <c r="H1" s="38"/>
      <c r="I1" s="36"/>
      <c r="J1" s="36"/>
      <c r="K1" s="36"/>
    </row>
    <row r="2" spans="1:11" s="210" customFormat="1" ht="18" customHeight="1">
      <c r="A2" s="207"/>
      <c r="B2" s="138" t="s">
        <v>174</v>
      </c>
      <c r="C2" s="138"/>
      <c r="D2" s="139"/>
      <c r="E2" s="138"/>
      <c r="F2" s="139"/>
      <c r="G2" s="138"/>
      <c r="H2" s="139"/>
      <c r="I2" s="207"/>
      <c r="J2" s="207"/>
      <c r="K2" s="207"/>
    </row>
    <row r="3" spans="1:11" ht="16.5" customHeight="1">
      <c r="A3" s="36"/>
      <c r="B3" s="140"/>
      <c r="C3" s="140"/>
      <c r="D3" s="140"/>
      <c r="E3" s="140"/>
      <c r="F3" s="140"/>
      <c r="G3" s="140"/>
      <c r="I3" s="36"/>
      <c r="J3" s="140"/>
      <c r="K3" s="140"/>
    </row>
    <row r="4" spans="1:11" ht="16.5" customHeight="1">
      <c r="A4" s="36"/>
      <c r="B4" s="140"/>
      <c r="C4" s="140"/>
      <c r="D4" s="237" t="s">
        <v>127</v>
      </c>
      <c r="E4" s="140"/>
      <c r="F4" s="208">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42" t="str">
        <f>Plan_Year&amp;" Plan Options"</f>
        <v>2022-23 Plan Options</v>
      </c>
      <c r="C7" s="165"/>
      <c r="D7" s="242" t="s">
        <v>147</v>
      </c>
      <c r="E7" s="165"/>
      <c r="F7" s="242" t="s">
        <v>148</v>
      </c>
      <c r="G7" s="165"/>
      <c r="H7" s="165"/>
      <c r="I7" s="169"/>
      <c r="J7" s="169"/>
      <c r="K7" s="169"/>
    </row>
    <row r="8" spans="1:11" ht="16.5" customHeight="1">
      <c r="A8" s="169"/>
      <c r="B8" s="238" t="s">
        <v>27</v>
      </c>
      <c r="C8" s="166"/>
      <c r="D8" s="239">
        <f>'Cost Estimator'!E57</f>
        <v>1272</v>
      </c>
      <c r="E8" s="166"/>
      <c r="F8" s="239">
        <f>'Cost Estimator'!F57</f>
        <v>804</v>
      </c>
      <c r="G8" s="166"/>
      <c r="H8" s="168"/>
      <c r="I8" s="169"/>
      <c r="J8" s="169"/>
      <c r="K8" s="169"/>
    </row>
    <row r="9" spans="1:11" ht="16.5" customHeight="1">
      <c r="A9" s="169"/>
      <c r="B9" s="238" t="s">
        <v>28</v>
      </c>
      <c r="C9" s="166"/>
      <c r="D9" s="167"/>
      <c r="E9" s="166"/>
      <c r="F9" s="239">
        <f>'Cost Estimator'!G51</f>
        <v>0</v>
      </c>
      <c r="G9" s="166"/>
      <c r="H9" s="169"/>
      <c r="I9" s="169"/>
      <c r="J9" s="169"/>
      <c r="K9" s="169"/>
    </row>
    <row r="10" spans="1:11" ht="16.5" customHeight="1">
      <c r="A10" s="169"/>
      <c r="B10" s="238" t="s">
        <v>29</v>
      </c>
      <c r="C10" s="166"/>
      <c r="D10" s="239">
        <f>D9+D8</f>
        <v>1272</v>
      </c>
      <c r="E10" s="166"/>
      <c r="F10" s="239">
        <f>F8+F9</f>
        <v>804</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40" t="s">
        <v>176</v>
      </c>
      <c r="G13" s="169"/>
      <c r="H13" s="241">
        <f>D10-F10</f>
        <v>468</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40" t="s">
        <v>177</v>
      </c>
      <c r="G15" s="169"/>
      <c r="H15" s="241">
        <f>H13*(1-$F$4)</f>
        <v>365.04</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126</v>
      </c>
      <c r="C18" s="143"/>
      <c r="D18" s="142"/>
      <c r="E18" s="143"/>
      <c r="F18" s="142"/>
      <c r="G18" s="143"/>
      <c r="I18" s="36"/>
      <c r="J18" s="140"/>
      <c r="K18" s="140"/>
    </row>
    <row r="19" spans="1:11">
      <c r="A19" s="36"/>
      <c r="B19" s="143" t="str">
        <f>"2. Green Diamond's plan year runs from "&amp;Asmpt!B13&amp;"."</f>
        <v>2. Green Diamond's plan year runs from 7/1/2022 through 6/30/2023.</v>
      </c>
      <c r="C19" s="143"/>
      <c r="D19" s="142"/>
      <c r="E19" s="143"/>
      <c r="F19" s="142"/>
      <c r="G19" s="143"/>
      <c r="I19" s="36"/>
      <c r="J19" s="140"/>
      <c r="K19" s="140"/>
    </row>
    <row r="20" spans="1:11">
      <c r="A20" s="36"/>
      <c r="B20" s="143" t="s">
        <v>175</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Ksf0ZJ9vj5Vq5v4+yYsDYTrdAoXpkQ9SwpWz0ZsZrdQqwiA7vYndBjdjCTTmB7LnJbmYBykLxd2kZESsqXM2Dg==" saltValue="9PFpixjmSht91j6gXgwtw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workbookViewId="0">
      <selection activeCell="D21" sqref="D21"/>
    </sheetView>
  </sheetViews>
  <sheetFormatPr defaultColWidth="9.140625" defaultRowHeight="15"/>
  <cols>
    <col min="1" max="1" width="48.7109375" style="255" customWidth="1"/>
    <col min="2" max="3" width="24.7109375" style="256" customWidth="1"/>
    <col min="4" max="4" width="22.7109375" style="221" customWidth="1"/>
    <col min="5" max="16384" width="9.140625" style="221"/>
  </cols>
  <sheetData>
    <row r="1" spans="1:5" s="219" customFormat="1" ht="18.75">
      <c r="A1" s="253" t="s">
        <v>169</v>
      </c>
      <c r="B1" s="254" t="s">
        <v>122</v>
      </c>
      <c r="C1" s="254"/>
      <c r="D1" s="218" t="s">
        <v>122</v>
      </c>
    </row>
    <row r="2" spans="1:5" s="220" customFormat="1">
      <c r="A2" s="255" t="s">
        <v>249</v>
      </c>
      <c r="B2" s="256"/>
      <c r="C2" s="256"/>
      <c r="D2" s="34"/>
    </row>
    <row r="3" spans="1:5" s="220" customFormat="1">
      <c r="A3" s="236" t="s">
        <v>240</v>
      </c>
      <c r="B3" s="256"/>
      <c r="C3" s="256"/>
      <c r="D3" s="34"/>
    </row>
    <row r="4" spans="1:5">
      <c r="D4" s="34"/>
    </row>
    <row r="5" spans="1:5" ht="15.75">
      <c r="A5" s="257"/>
      <c r="B5" s="258" t="s">
        <v>35</v>
      </c>
      <c r="C5" s="258" t="s">
        <v>172</v>
      </c>
      <c r="D5" s="34"/>
      <c r="E5" s="34"/>
    </row>
    <row r="6" spans="1:5">
      <c r="A6" s="213" t="s">
        <v>185</v>
      </c>
      <c r="B6" s="215"/>
      <c r="C6" s="216"/>
      <c r="D6" s="34"/>
      <c r="E6" s="34"/>
    </row>
    <row r="7" spans="1:5">
      <c r="A7" s="233" t="s">
        <v>186</v>
      </c>
      <c r="B7" s="259" t="s">
        <v>161</v>
      </c>
      <c r="C7" s="260" t="s">
        <v>187</v>
      </c>
      <c r="D7" s="34"/>
      <c r="E7" s="34"/>
    </row>
    <row r="8" spans="1:5">
      <c r="A8" s="233" t="s">
        <v>188</v>
      </c>
      <c r="B8" s="259" t="s">
        <v>161</v>
      </c>
      <c r="C8" s="260">
        <v>1000</v>
      </c>
      <c r="D8" s="34"/>
      <c r="E8" s="34"/>
    </row>
    <row r="9" spans="1:5">
      <c r="A9" s="233" t="s">
        <v>189</v>
      </c>
      <c r="B9" s="259" t="s">
        <v>161</v>
      </c>
      <c r="C9" s="260">
        <v>1500</v>
      </c>
      <c r="D9" s="34"/>
      <c r="E9" s="34"/>
    </row>
    <row r="10" spans="1:5">
      <c r="A10" s="233" t="s">
        <v>190</v>
      </c>
      <c r="B10" s="259" t="s">
        <v>161</v>
      </c>
      <c r="C10" s="261">
        <f>ROUND(C8/24,2)</f>
        <v>41.67</v>
      </c>
      <c r="D10" s="34"/>
      <c r="E10" s="34"/>
    </row>
    <row r="11" spans="1:5">
      <c r="A11" s="233" t="s">
        <v>191</v>
      </c>
      <c r="B11" s="259" t="s">
        <v>161</v>
      </c>
      <c r="C11" s="261">
        <f>ROUND(C9/24,2)</f>
        <v>62.5</v>
      </c>
      <c r="D11" s="34"/>
      <c r="E11" s="34"/>
    </row>
    <row r="12" spans="1:5">
      <c r="A12" s="213" t="s">
        <v>179</v>
      </c>
      <c r="B12" s="232"/>
      <c r="C12" s="214"/>
      <c r="D12" s="34"/>
      <c r="E12" s="34"/>
    </row>
    <row r="13" spans="1:5">
      <c r="A13" s="233" t="s">
        <v>180</v>
      </c>
      <c r="B13" s="234" t="s">
        <v>257</v>
      </c>
      <c r="C13" s="235" t="s">
        <v>235</v>
      </c>
      <c r="D13" s="34"/>
      <c r="E13" s="34"/>
    </row>
    <row r="14" spans="1:5">
      <c r="A14" s="233" t="s">
        <v>181</v>
      </c>
      <c r="B14" s="234" t="s">
        <v>205</v>
      </c>
      <c r="C14" s="235" t="s">
        <v>236</v>
      </c>
      <c r="D14" s="34"/>
      <c r="E14" s="34"/>
    </row>
    <row r="15" spans="1:5">
      <c r="A15" s="233" t="s">
        <v>250</v>
      </c>
      <c r="B15" s="234" t="s">
        <v>258</v>
      </c>
      <c r="C15" s="235" t="s">
        <v>183</v>
      </c>
      <c r="D15" s="34"/>
      <c r="E15" s="34"/>
    </row>
    <row r="16" spans="1:5">
      <c r="A16" s="233" t="s">
        <v>251</v>
      </c>
      <c r="B16" s="234" t="s">
        <v>259</v>
      </c>
      <c r="C16" s="235" t="s">
        <v>184</v>
      </c>
      <c r="D16" s="34"/>
      <c r="E16" s="34"/>
    </row>
    <row r="17" spans="1:5">
      <c r="A17" s="213" t="s">
        <v>252</v>
      </c>
      <c r="B17" s="232"/>
      <c r="C17" s="217"/>
      <c r="D17" s="34"/>
      <c r="E17" s="34"/>
    </row>
    <row r="18" spans="1:5">
      <c r="A18" s="233" t="s">
        <v>163</v>
      </c>
      <c r="B18" s="234" t="s">
        <v>164</v>
      </c>
      <c r="C18" s="235" t="s">
        <v>164</v>
      </c>
      <c r="D18" s="34"/>
      <c r="E18" s="34"/>
    </row>
    <row r="19" spans="1:5">
      <c r="A19" s="233" t="s">
        <v>192</v>
      </c>
      <c r="B19" s="234" t="s">
        <v>260</v>
      </c>
      <c r="C19" s="235" t="s">
        <v>256</v>
      </c>
      <c r="D19" s="34"/>
      <c r="E19" s="34"/>
    </row>
    <row r="20" spans="1:5">
      <c r="A20" s="233" t="s">
        <v>193</v>
      </c>
      <c r="B20" s="234" t="s">
        <v>261</v>
      </c>
      <c r="C20" s="235" t="s">
        <v>256</v>
      </c>
      <c r="D20" s="34"/>
      <c r="E20" s="34"/>
    </row>
    <row r="21" spans="1:5">
      <c r="A21" s="233" t="s">
        <v>165</v>
      </c>
      <c r="B21" s="234" t="s">
        <v>256</v>
      </c>
      <c r="C21" s="235" t="s">
        <v>256</v>
      </c>
      <c r="D21" s="34"/>
      <c r="E21" s="34"/>
    </row>
    <row r="22" spans="1:5">
      <c r="A22" s="233" t="s">
        <v>166</v>
      </c>
      <c r="B22" s="234" t="s">
        <v>256</v>
      </c>
      <c r="C22" s="235" t="s">
        <v>256</v>
      </c>
      <c r="D22" s="34"/>
      <c r="E22" s="34"/>
    </row>
    <row r="23" spans="1:5">
      <c r="A23" s="233" t="s">
        <v>167</v>
      </c>
      <c r="B23" s="234" t="s">
        <v>256</v>
      </c>
      <c r="C23" s="235" t="s">
        <v>256</v>
      </c>
      <c r="D23" s="34"/>
      <c r="E23" s="34"/>
    </row>
    <row r="24" spans="1:5" s="222" customFormat="1">
      <c r="A24" s="213" t="s">
        <v>237</v>
      </c>
      <c r="B24" s="232"/>
      <c r="C24" s="217"/>
      <c r="D24" s="34"/>
      <c r="E24" s="34"/>
    </row>
    <row r="25" spans="1:5" s="223" customFormat="1">
      <c r="A25" s="233" t="s">
        <v>238</v>
      </c>
      <c r="B25" s="234" t="s">
        <v>164</v>
      </c>
      <c r="C25" s="235" t="s">
        <v>88</v>
      </c>
      <c r="D25" s="34"/>
      <c r="E25" s="34"/>
    </row>
    <row r="26" spans="1:5" s="211" customFormat="1">
      <c r="A26" s="213" t="s">
        <v>168</v>
      </c>
      <c r="B26" s="232"/>
      <c r="C26" s="262"/>
      <c r="D26" s="34"/>
      <c r="E26" s="34"/>
    </row>
    <row r="27" spans="1:5" s="211" customFormat="1">
      <c r="A27" s="233" t="s">
        <v>180</v>
      </c>
      <c r="B27" s="234" t="s">
        <v>262</v>
      </c>
      <c r="C27" s="235" t="s">
        <v>236</v>
      </c>
      <c r="D27" s="34"/>
      <c r="E27" s="34"/>
    </row>
    <row r="28" spans="1:5" s="211" customFormat="1">
      <c r="A28" s="233" t="s">
        <v>181</v>
      </c>
      <c r="B28" s="234" t="s">
        <v>258</v>
      </c>
      <c r="C28" s="235" t="s">
        <v>239</v>
      </c>
      <c r="D28" s="34"/>
      <c r="E28" s="34"/>
    </row>
    <row r="29" spans="1:5" s="211" customFormat="1">
      <c r="A29" s="233" t="s">
        <v>182</v>
      </c>
      <c r="B29" s="234" t="s">
        <v>162</v>
      </c>
      <c r="C29" s="235" t="s">
        <v>162</v>
      </c>
      <c r="D29" s="34"/>
      <c r="E29" s="34"/>
    </row>
    <row r="30" spans="1:5" s="211" customFormat="1">
      <c r="A30" s="233" t="s">
        <v>206</v>
      </c>
      <c r="B30" s="234" t="s">
        <v>207</v>
      </c>
      <c r="C30" s="235" t="s">
        <v>207</v>
      </c>
      <c r="D30" s="34"/>
      <c r="E30" s="34"/>
    </row>
    <row r="31" spans="1:5" s="211" customFormat="1">
      <c r="A31" s="233" t="s">
        <v>250</v>
      </c>
      <c r="B31" s="234" t="s">
        <v>259</v>
      </c>
      <c r="C31" s="235" t="s">
        <v>184</v>
      </c>
      <c r="D31" s="34"/>
      <c r="E31" s="34"/>
    </row>
    <row r="32" spans="1:5" s="211" customFormat="1">
      <c r="A32" s="233" t="s">
        <v>251</v>
      </c>
      <c r="B32" s="234" t="s">
        <v>263</v>
      </c>
      <c r="C32" s="235" t="s">
        <v>208</v>
      </c>
      <c r="D32" s="34"/>
      <c r="E32" s="34"/>
    </row>
    <row r="33" spans="1:5" s="211" customFormat="1">
      <c r="A33" s="213" t="s">
        <v>253</v>
      </c>
      <c r="B33" s="232"/>
      <c r="C33" s="217"/>
      <c r="D33" s="34"/>
      <c r="E33" s="34"/>
    </row>
    <row r="34" spans="1:5" s="211" customFormat="1">
      <c r="A34" s="233" t="s">
        <v>194</v>
      </c>
      <c r="B34" s="234" t="s">
        <v>195</v>
      </c>
      <c r="C34" s="235" t="s">
        <v>256</v>
      </c>
      <c r="D34" s="34"/>
      <c r="E34" s="34"/>
    </row>
    <row r="35" spans="1:5" s="211" customFormat="1">
      <c r="A35" s="233" t="s">
        <v>196</v>
      </c>
      <c r="B35" s="234" t="s">
        <v>197</v>
      </c>
      <c r="C35" s="235" t="s">
        <v>256</v>
      </c>
      <c r="D35" s="34"/>
      <c r="E35" s="34"/>
    </row>
    <row r="36" spans="1:5" s="211" customFormat="1">
      <c r="A36" s="233" t="s">
        <v>198</v>
      </c>
      <c r="B36" s="234" t="s">
        <v>199</v>
      </c>
      <c r="C36" s="235" t="s">
        <v>256</v>
      </c>
      <c r="D36" s="34"/>
      <c r="E36" s="34"/>
    </row>
    <row r="37" spans="1:5" s="211" customFormat="1">
      <c r="A37" s="213" t="s">
        <v>254</v>
      </c>
      <c r="B37" s="232"/>
      <c r="C37" s="217"/>
      <c r="D37" s="34"/>
      <c r="E37" s="34"/>
    </row>
    <row r="38" spans="1:5" s="211" customFormat="1">
      <c r="A38" s="233" t="s">
        <v>194</v>
      </c>
      <c r="B38" s="234" t="s">
        <v>200</v>
      </c>
      <c r="C38" s="235" t="s">
        <v>256</v>
      </c>
      <c r="D38" s="34"/>
      <c r="E38" s="34"/>
    </row>
    <row r="39" spans="1:5" s="211" customFormat="1">
      <c r="A39" s="233" t="s">
        <v>196</v>
      </c>
      <c r="B39" s="234" t="s">
        <v>201</v>
      </c>
      <c r="C39" s="235" t="s">
        <v>256</v>
      </c>
      <c r="D39" s="34"/>
      <c r="E39" s="34"/>
    </row>
    <row r="40" spans="1:5" s="211" customFormat="1">
      <c r="A40" s="233" t="s">
        <v>198</v>
      </c>
      <c r="B40" s="234" t="s">
        <v>199</v>
      </c>
      <c r="C40" s="235" t="s">
        <v>256</v>
      </c>
      <c r="D40" s="34"/>
      <c r="E40" s="34"/>
    </row>
    <row r="41" spans="1:5" s="211" customFormat="1">
      <c r="A41" s="213" t="s">
        <v>255</v>
      </c>
      <c r="B41" s="232"/>
      <c r="C41" s="217"/>
      <c r="D41" s="34"/>
      <c r="E41" s="34"/>
    </row>
    <row r="42" spans="1:5" s="211" customFormat="1">
      <c r="A42" s="233" t="s">
        <v>202</v>
      </c>
      <c r="B42" s="234" t="s">
        <v>203</v>
      </c>
      <c r="C42" s="235" t="s">
        <v>256</v>
      </c>
      <c r="D42" s="34"/>
      <c r="E42" s="34"/>
    </row>
    <row r="43" spans="1:5" s="211" customFormat="1">
      <c r="A43" s="233" t="s">
        <v>204</v>
      </c>
      <c r="B43" s="234" t="s">
        <v>199</v>
      </c>
      <c r="C43" s="235" t="s">
        <v>256</v>
      </c>
      <c r="D43" s="34"/>
      <c r="E43" s="34"/>
    </row>
    <row r="44" spans="1:5" s="211" customFormat="1">
      <c r="A44" s="255"/>
      <c r="B44" s="256"/>
      <c r="C44" s="256"/>
      <c r="D44" s="34"/>
      <c r="E44" s="34"/>
    </row>
    <row r="45" spans="1:5" s="211" customFormat="1">
      <c r="A45" s="255"/>
      <c r="B45" s="256"/>
      <c r="C45" s="256"/>
      <c r="D45" s="34"/>
      <c r="E45" s="34"/>
    </row>
    <row r="46" spans="1:5" s="211" customFormat="1">
      <c r="A46" s="255"/>
      <c r="B46" s="256"/>
      <c r="C46" s="256"/>
      <c r="D46" s="34"/>
      <c r="E46" s="34"/>
    </row>
    <row r="47" spans="1:5" s="211" customFormat="1">
      <c r="A47" s="255"/>
      <c r="B47" s="256"/>
      <c r="C47" s="256"/>
      <c r="D47" s="34"/>
      <c r="E47" s="34"/>
    </row>
    <row r="48" spans="1:5" s="211" customFormat="1">
      <c r="A48" s="255"/>
      <c r="B48" s="256"/>
      <c r="C48" s="256"/>
      <c r="D48" s="34"/>
      <c r="E48" s="34"/>
    </row>
    <row r="49" spans="1:5" s="211" customFormat="1">
      <c r="A49" s="255"/>
      <c r="B49" s="256"/>
      <c r="C49" s="256"/>
      <c r="D49" s="34"/>
      <c r="E49" s="34"/>
    </row>
    <row r="50" spans="1:5" s="211" customFormat="1">
      <c r="A50" s="255"/>
      <c r="B50" s="256"/>
      <c r="C50" s="256"/>
      <c r="D50" s="34"/>
      <c r="E50" s="34"/>
    </row>
    <row r="51" spans="1:5" s="211" customFormat="1">
      <c r="A51" s="255"/>
      <c r="B51" s="256"/>
      <c r="C51" s="256"/>
      <c r="E51" s="34"/>
    </row>
    <row r="52" spans="1:5" s="211" customFormat="1">
      <c r="A52" s="255"/>
      <c r="B52" s="256"/>
      <c r="C52" s="256"/>
      <c r="E52" s="34"/>
    </row>
    <row r="53" spans="1:5" s="211" customFormat="1">
      <c r="A53" s="255"/>
      <c r="B53" s="256"/>
      <c r="C53" s="256"/>
      <c r="E53" s="34"/>
    </row>
    <row r="54" spans="1:5" s="211" customFormat="1">
      <c r="A54" s="255"/>
      <c r="B54" s="256"/>
      <c r="C54" s="256"/>
      <c r="E54" s="34"/>
    </row>
    <row r="55" spans="1:5" s="211" customFormat="1">
      <c r="A55" s="255"/>
      <c r="B55" s="256"/>
      <c r="C55" s="256"/>
      <c r="E55" s="34"/>
    </row>
    <row r="56" spans="1:5" s="211" customFormat="1">
      <c r="A56" s="255"/>
      <c r="B56" s="256"/>
      <c r="C56" s="256"/>
      <c r="E56" s="34"/>
    </row>
    <row r="57" spans="1:5" s="211" customFormat="1">
      <c r="A57" s="255"/>
      <c r="B57" s="256"/>
      <c r="C57" s="256"/>
      <c r="E57" s="34"/>
    </row>
    <row r="58" spans="1:5" s="211" customFormat="1">
      <c r="A58" s="255"/>
      <c r="B58" s="256"/>
      <c r="C58" s="256"/>
      <c r="E58" s="34"/>
    </row>
    <row r="59" spans="1:5" s="211" customFormat="1">
      <c r="A59" s="255"/>
      <c r="B59" s="256"/>
      <c r="C59" s="256"/>
      <c r="E59" s="34"/>
    </row>
    <row r="60" spans="1:5" s="211" customFormat="1">
      <c r="A60" s="255"/>
      <c r="B60" s="256"/>
      <c r="C60" s="256"/>
      <c r="E60" s="34"/>
    </row>
    <row r="61" spans="1:5" s="211" customFormat="1">
      <c r="A61" s="255"/>
      <c r="B61" s="256"/>
      <c r="C61" s="256"/>
      <c r="E61" s="34"/>
    </row>
    <row r="62" spans="1:5" s="211" customFormat="1">
      <c r="A62" s="255"/>
      <c r="B62" s="256"/>
      <c r="C62" s="256"/>
      <c r="E62" s="34"/>
    </row>
    <row r="63" spans="1:5" s="211" customFormat="1">
      <c r="A63" s="255"/>
      <c r="B63" s="256"/>
      <c r="C63" s="256"/>
      <c r="E63" s="34"/>
    </row>
    <row r="64" spans="1:5" s="211" customFormat="1">
      <c r="A64" s="255"/>
      <c r="B64" s="256"/>
      <c r="C64" s="256"/>
      <c r="E64" s="34"/>
    </row>
    <row r="65" spans="1:5" s="211" customFormat="1">
      <c r="A65" s="255"/>
      <c r="B65" s="256"/>
      <c r="C65" s="256"/>
      <c r="E65" s="34"/>
    </row>
    <row r="66" spans="1:5" s="211" customFormat="1">
      <c r="A66" s="255"/>
      <c r="B66" s="256"/>
      <c r="C66" s="256"/>
      <c r="E66" s="34"/>
    </row>
    <row r="67" spans="1:5" s="211" customFormat="1">
      <c r="A67" s="255"/>
      <c r="B67" s="256"/>
      <c r="C67" s="256"/>
      <c r="E67" s="34"/>
    </row>
    <row r="68" spans="1:5" s="211" customFormat="1">
      <c r="A68" s="255"/>
      <c r="B68" s="256"/>
      <c r="C68" s="256"/>
      <c r="E68" s="34"/>
    </row>
    <row r="69" spans="1:5" s="211" customFormat="1">
      <c r="A69" s="255"/>
      <c r="B69" s="256"/>
      <c r="C69" s="256"/>
      <c r="E69" s="34"/>
    </row>
    <row r="70" spans="1:5" s="211" customFormat="1">
      <c r="A70" s="255"/>
      <c r="B70" s="256"/>
      <c r="C70" s="256"/>
      <c r="E70" s="34"/>
    </row>
    <row r="71" spans="1:5" s="211" customFormat="1">
      <c r="A71" s="255"/>
      <c r="B71" s="256"/>
      <c r="C71" s="256"/>
      <c r="E71" s="34"/>
    </row>
    <row r="72" spans="1:5" s="211" customFormat="1">
      <c r="A72" s="255"/>
      <c r="B72" s="256"/>
      <c r="C72" s="256"/>
      <c r="E72" s="34"/>
    </row>
    <row r="73" spans="1:5" s="211" customFormat="1">
      <c r="A73" s="255"/>
      <c r="B73" s="256"/>
      <c r="C73" s="256"/>
    </row>
    <row r="74" spans="1:5" s="211" customFormat="1">
      <c r="A74" s="255"/>
      <c r="B74" s="256"/>
      <c r="C74" s="256"/>
    </row>
    <row r="75" spans="1:5" s="211" customFormat="1">
      <c r="A75" s="255"/>
      <c r="B75" s="256"/>
      <c r="C75" s="256"/>
    </row>
    <row r="76" spans="1:5" s="211" customFormat="1">
      <c r="A76" s="255"/>
      <c r="B76" s="256"/>
      <c r="C76" s="256"/>
    </row>
    <row r="77" spans="1:5" s="211" customFormat="1">
      <c r="A77" s="255"/>
      <c r="B77" s="256"/>
      <c r="C77" s="256"/>
    </row>
    <row r="78" spans="1:5" s="211" customFormat="1">
      <c r="A78" s="255"/>
      <c r="B78" s="256"/>
      <c r="C78" s="256"/>
    </row>
    <row r="79" spans="1:5" s="211" customFormat="1">
      <c r="A79" s="255"/>
      <c r="B79" s="256"/>
      <c r="C79" s="256"/>
    </row>
    <row r="80" spans="1:5" s="211" customFormat="1">
      <c r="A80" s="255"/>
      <c r="B80" s="256"/>
      <c r="C80" s="256"/>
    </row>
    <row r="81" spans="1:3" s="211" customFormat="1">
      <c r="A81" s="255"/>
      <c r="B81" s="256"/>
      <c r="C81" s="256"/>
    </row>
  </sheetData>
  <sheetProtection algorithmName="SHA-512" hashValue="6dyNCXXS5tHBe2taitkBQij5QXcV3PIjGby0VxITrY44CtWQPcKgFRQhLiU6TG4O+bdXTjsObH+1tgtaJnd6EQ==" saltValue="JuAQBFFeNn3RA4Q/WJkhZw=="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C199" sqref="C199"/>
    </sheetView>
  </sheetViews>
  <sheetFormatPr defaultColWidth="9.140625" defaultRowHeight="12.75"/>
  <cols>
    <col min="1" max="1" width="46.7109375" style="34" customWidth="1"/>
    <col min="2" max="4" width="26.5703125" style="34" customWidth="1"/>
    <col min="5" max="7" width="9.140625" style="34"/>
    <col min="8" max="8" width="27.42578125" style="34" bestFit="1" customWidth="1"/>
    <col min="9" max="9" width="23.7109375" style="34" bestFit="1" customWidth="1"/>
    <col min="10" max="10" width="28.7109375" style="34" bestFit="1" customWidth="1"/>
    <col min="11" max="29" width="9.140625" style="34"/>
    <col min="30" max="30" width="25.7109375" style="34" bestFit="1" customWidth="1"/>
    <col min="31" max="31" width="15" style="34" bestFit="1" customWidth="1"/>
    <col min="32" max="16384" width="9.14062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149</v>
      </c>
      <c r="B5" s="52" t="s">
        <v>169</v>
      </c>
      <c r="C5" s="50"/>
      <c r="D5" s="50"/>
      <c r="E5" s="50"/>
      <c r="F5" s="50"/>
      <c r="G5" s="50"/>
      <c r="H5" s="50"/>
      <c r="I5" s="50"/>
      <c r="J5" s="50"/>
      <c r="K5" s="50"/>
      <c r="L5" s="50"/>
      <c r="M5" s="50"/>
      <c r="N5" s="50"/>
      <c r="O5" s="50"/>
      <c r="P5" s="50"/>
      <c r="AA5" s="50"/>
    </row>
    <row r="6" spans="1:27">
      <c r="A6" s="53" t="s">
        <v>150</v>
      </c>
      <c r="B6" s="52" t="s">
        <v>170</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133</v>
      </c>
      <c r="B9" s="50"/>
      <c r="C9" s="50"/>
      <c r="D9" s="50"/>
      <c r="E9" s="50"/>
      <c r="F9" s="50"/>
      <c r="G9" s="50"/>
      <c r="H9" s="50"/>
      <c r="I9" s="50"/>
      <c r="J9" s="50"/>
      <c r="K9" s="50"/>
      <c r="L9" s="50"/>
      <c r="M9" s="50"/>
      <c r="N9" s="50"/>
      <c r="O9" s="50"/>
      <c r="P9" s="50"/>
      <c r="AA9" s="50"/>
    </row>
    <row r="10" spans="1:27">
      <c r="A10" s="53" t="s">
        <v>132</v>
      </c>
      <c r="B10" s="67" t="s">
        <v>264</v>
      </c>
      <c r="C10" s="50"/>
      <c r="D10" s="50"/>
      <c r="E10" s="50" t="s">
        <v>134</v>
      </c>
      <c r="F10" s="50"/>
      <c r="G10" s="50"/>
      <c r="H10" s="50"/>
      <c r="I10" s="50"/>
      <c r="J10" s="50"/>
      <c r="K10" s="50"/>
      <c r="L10" s="50"/>
      <c r="M10" s="50"/>
      <c r="N10" s="50"/>
      <c r="O10" s="50"/>
      <c r="P10" s="50"/>
      <c r="AA10" s="50"/>
    </row>
    <row r="11" spans="1:27">
      <c r="A11" s="53" t="s">
        <v>135</v>
      </c>
      <c r="B11" s="171">
        <v>43281</v>
      </c>
      <c r="C11" s="50"/>
      <c r="D11" s="50"/>
      <c r="E11" s="50"/>
      <c r="F11" s="50"/>
      <c r="G11" s="50"/>
      <c r="H11" s="50"/>
      <c r="I11" s="50"/>
      <c r="J11" s="50"/>
      <c r="K11" s="50"/>
      <c r="L11" s="50"/>
      <c r="M11" s="50"/>
      <c r="N11" s="50"/>
      <c r="O11" s="50"/>
      <c r="P11" s="50"/>
      <c r="AA11" s="50"/>
    </row>
    <row r="12" spans="1:27">
      <c r="A12" s="53" t="s">
        <v>136</v>
      </c>
      <c r="B12" s="171">
        <v>43645</v>
      </c>
      <c r="C12" s="50"/>
      <c r="D12" s="50"/>
      <c r="E12" s="50"/>
      <c r="F12" s="50"/>
      <c r="G12" s="50"/>
      <c r="H12" s="50"/>
      <c r="I12" s="50"/>
      <c r="J12" s="50"/>
      <c r="K12" s="50"/>
      <c r="L12" s="50"/>
      <c r="M12" s="50"/>
      <c r="N12" s="50"/>
      <c r="O12" s="50"/>
      <c r="P12" s="50"/>
      <c r="AA12" s="50"/>
    </row>
    <row r="13" spans="1:27">
      <c r="A13" s="53" t="s">
        <v>151</v>
      </c>
      <c r="B13" s="171" t="str">
        <f>TEXT(PY_Start,"m/d/yyyy")&amp;" through "&amp;TEXT(PY_End,"m/d/yyyy")</f>
        <v>7/1/2022 through 6/30/2023</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140</v>
      </c>
      <c r="B15" s="52" t="s">
        <v>141</v>
      </c>
      <c r="C15" s="50"/>
      <c r="D15" s="50"/>
      <c r="E15" s="50"/>
      <c r="F15" s="50"/>
      <c r="G15" s="50"/>
      <c r="H15" s="50"/>
      <c r="I15" s="50"/>
      <c r="J15" s="50"/>
      <c r="K15" s="50"/>
      <c r="L15" s="50"/>
      <c r="M15" s="50"/>
      <c r="N15" s="50"/>
      <c r="O15" s="50"/>
      <c r="P15" s="50"/>
      <c r="AA15" s="50"/>
    </row>
    <row r="16" spans="1:27" ht="13.5" thickBot="1">
      <c r="A16" s="50"/>
      <c r="B16" s="50"/>
      <c r="C16" s="50"/>
      <c r="D16" s="50"/>
      <c r="E16" s="50"/>
      <c r="F16" s="50"/>
      <c r="G16" s="50"/>
      <c r="H16" s="50"/>
      <c r="I16" s="50"/>
      <c r="J16" s="50"/>
      <c r="K16" s="50"/>
      <c r="L16" s="50"/>
      <c r="M16" s="50"/>
      <c r="N16" s="50"/>
      <c r="O16" s="50"/>
      <c r="P16" s="50"/>
      <c r="AA16" s="50"/>
    </row>
    <row r="17" spans="1:16">
      <c r="A17" s="51" t="s">
        <v>42</v>
      </c>
      <c r="B17" s="51" t="s">
        <v>118</v>
      </c>
      <c r="C17" s="51" t="s">
        <v>145</v>
      </c>
      <c r="D17" s="264" t="s">
        <v>241</v>
      </c>
      <c r="E17" s="51" t="s">
        <v>244</v>
      </c>
    </row>
    <row r="18" spans="1:16">
      <c r="A18" s="53" t="s">
        <v>43</v>
      </c>
      <c r="B18" s="231">
        <v>230</v>
      </c>
      <c r="C18" s="203"/>
      <c r="D18" s="265">
        <v>220</v>
      </c>
      <c r="E18" s="205" t="s">
        <v>265</v>
      </c>
    </row>
    <row r="19" spans="1:16">
      <c r="A19" s="53" t="s">
        <v>110</v>
      </c>
      <c r="B19" s="231">
        <v>205</v>
      </c>
      <c r="C19" s="203"/>
      <c r="D19" s="265">
        <v>195</v>
      </c>
      <c r="E19" s="205" t="s">
        <v>265</v>
      </c>
    </row>
    <row r="20" spans="1:16">
      <c r="A20" s="53" t="s">
        <v>234</v>
      </c>
      <c r="B20" s="231">
        <v>140</v>
      </c>
      <c r="C20" s="204">
        <v>45</v>
      </c>
      <c r="D20" s="265">
        <v>135</v>
      </c>
      <c r="E20" s="205" t="s">
        <v>265</v>
      </c>
    </row>
    <row r="21" spans="1:16">
      <c r="A21" s="53" t="s">
        <v>233</v>
      </c>
      <c r="B21" s="231">
        <v>82</v>
      </c>
      <c r="C21" s="204">
        <v>12</v>
      </c>
      <c r="D21" s="265">
        <v>80</v>
      </c>
      <c r="E21" s="205" t="s">
        <v>265</v>
      </c>
      <c r="F21" s="50"/>
      <c r="G21" s="50"/>
      <c r="H21" s="50"/>
      <c r="I21" s="50"/>
      <c r="J21" s="50"/>
      <c r="K21" s="50"/>
      <c r="L21" s="50"/>
      <c r="M21" s="50"/>
      <c r="N21" s="50"/>
      <c r="O21" s="50"/>
      <c r="P21" s="50"/>
    </row>
    <row r="22" spans="1:16">
      <c r="A22" s="53" t="s">
        <v>111</v>
      </c>
      <c r="B22" s="231">
        <v>350</v>
      </c>
      <c r="C22" s="203"/>
      <c r="D22" s="265">
        <v>335</v>
      </c>
      <c r="E22" s="205" t="s">
        <v>265</v>
      </c>
      <c r="F22" s="50"/>
      <c r="G22" s="50"/>
      <c r="H22" s="50"/>
      <c r="I22" s="50"/>
      <c r="J22" s="50"/>
      <c r="K22" s="50"/>
      <c r="L22" s="50"/>
      <c r="M22" s="50"/>
      <c r="N22" s="50"/>
      <c r="O22" s="50"/>
      <c r="P22" s="50"/>
    </row>
    <row r="23" spans="1:16">
      <c r="A23" s="53" t="s">
        <v>215</v>
      </c>
      <c r="B23" s="231">
        <v>33</v>
      </c>
      <c r="C23" s="203"/>
      <c r="D23" s="265">
        <v>33</v>
      </c>
      <c r="E23" s="50" t="s">
        <v>265</v>
      </c>
      <c r="F23" s="50"/>
      <c r="G23" s="50"/>
      <c r="H23" s="50"/>
      <c r="I23" s="50"/>
      <c r="J23" s="50"/>
      <c r="K23" s="50"/>
      <c r="L23" s="50"/>
      <c r="M23" s="50"/>
      <c r="N23" s="50"/>
      <c r="O23" s="50"/>
      <c r="P23" s="50"/>
    </row>
    <row r="24" spans="1:16">
      <c r="A24" s="53" t="s">
        <v>216</v>
      </c>
      <c r="B24" s="231">
        <v>95</v>
      </c>
      <c r="C24" s="203"/>
      <c r="D24" s="265">
        <v>80</v>
      </c>
      <c r="E24" s="50" t="s">
        <v>265</v>
      </c>
      <c r="F24" s="50"/>
      <c r="G24" s="50"/>
      <c r="H24" s="50"/>
      <c r="I24" s="50"/>
      <c r="J24" s="50"/>
      <c r="K24" s="50"/>
      <c r="L24" s="50"/>
      <c r="M24" s="50"/>
      <c r="N24" s="50"/>
      <c r="O24" s="50"/>
      <c r="P24" s="50"/>
    </row>
    <row r="25" spans="1:16">
      <c r="A25" s="53" t="s">
        <v>112</v>
      </c>
      <c r="B25" s="231">
        <v>315</v>
      </c>
      <c r="C25" s="203"/>
      <c r="D25" s="265">
        <v>295</v>
      </c>
      <c r="E25" s="251" t="s">
        <v>265</v>
      </c>
      <c r="F25" s="50"/>
      <c r="G25" s="50"/>
      <c r="H25" s="50"/>
      <c r="I25" s="50"/>
      <c r="J25" s="50"/>
      <c r="K25" s="50"/>
      <c r="L25" s="50"/>
      <c r="M25" s="50"/>
      <c r="N25" s="50"/>
      <c r="O25" s="50"/>
      <c r="P25" s="50"/>
    </row>
    <row r="26" spans="1:16">
      <c r="A26" s="53" t="s">
        <v>113</v>
      </c>
      <c r="B26" s="231">
        <v>390</v>
      </c>
      <c r="C26" s="203"/>
      <c r="D26" s="265">
        <v>375</v>
      </c>
      <c r="E26" s="251" t="s">
        <v>265</v>
      </c>
      <c r="F26" s="50"/>
      <c r="G26" s="50"/>
      <c r="H26" s="50"/>
      <c r="I26" s="50"/>
      <c r="J26" s="50"/>
      <c r="K26" s="50"/>
      <c r="L26" s="50"/>
      <c r="M26" s="50"/>
      <c r="N26" s="50"/>
      <c r="O26" s="50"/>
      <c r="P26" s="50"/>
    </row>
    <row r="27" spans="1:16">
      <c r="A27" s="53" t="s">
        <v>213</v>
      </c>
      <c r="B27" s="231">
        <v>6500</v>
      </c>
      <c r="C27" s="203"/>
      <c r="D27" s="265">
        <v>5700</v>
      </c>
      <c r="E27" s="50" t="s">
        <v>265</v>
      </c>
      <c r="F27" s="50"/>
      <c r="G27" s="50"/>
      <c r="H27" s="50"/>
      <c r="I27" s="50"/>
      <c r="J27" s="50"/>
      <c r="K27" s="50"/>
      <c r="L27" s="50"/>
      <c r="M27" s="50"/>
      <c r="N27" s="50"/>
      <c r="O27" s="50"/>
      <c r="P27" s="50"/>
    </row>
    <row r="28" spans="1:16">
      <c r="A28" s="53" t="s">
        <v>214</v>
      </c>
      <c r="B28" s="231">
        <v>6500</v>
      </c>
      <c r="C28" s="203"/>
      <c r="D28" s="265">
        <v>6300</v>
      </c>
      <c r="E28" s="50" t="s">
        <v>265</v>
      </c>
      <c r="F28" s="50"/>
      <c r="G28" s="50"/>
      <c r="H28" s="50"/>
      <c r="I28" s="50"/>
      <c r="J28" s="50"/>
      <c r="K28" s="50"/>
      <c r="L28" s="50"/>
      <c r="M28" s="50"/>
      <c r="N28" s="50"/>
      <c r="O28" s="50"/>
      <c r="P28" s="50"/>
    </row>
    <row r="29" spans="1:16">
      <c r="A29" s="53" t="s">
        <v>217</v>
      </c>
      <c r="B29" s="231">
        <v>90</v>
      </c>
      <c r="C29" s="203"/>
      <c r="D29" s="265">
        <v>85</v>
      </c>
      <c r="E29" s="50" t="s">
        <v>265</v>
      </c>
      <c r="F29" s="50"/>
      <c r="G29" s="50"/>
      <c r="H29" s="50"/>
      <c r="I29" s="50"/>
      <c r="J29" s="50"/>
      <c r="K29" s="50"/>
      <c r="L29" s="50"/>
      <c r="M29" s="50"/>
      <c r="N29" s="50"/>
      <c r="O29" s="50"/>
      <c r="P29" s="50"/>
    </row>
    <row r="30" spans="1:16">
      <c r="A30" s="53" t="s">
        <v>218</v>
      </c>
      <c r="B30" s="231">
        <f>135</f>
        <v>135</v>
      </c>
      <c r="C30" s="203"/>
      <c r="D30" s="265">
        <v>125</v>
      </c>
      <c r="E30" s="50" t="s">
        <v>265</v>
      </c>
      <c r="F30" s="50"/>
      <c r="G30" s="50"/>
      <c r="H30" s="50"/>
      <c r="I30" s="50"/>
      <c r="J30" s="50"/>
      <c r="K30" s="50"/>
      <c r="L30" s="50"/>
      <c r="M30" s="50"/>
      <c r="N30" s="50"/>
      <c r="O30" s="50"/>
      <c r="P30" s="50"/>
    </row>
    <row r="31" spans="1:16">
      <c r="A31" s="53" t="s">
        <v>114</v>
      </c>
      <c r="B31" s="231">
        <v>1750</v>
      </c>
      <c r="C31" s="203"/>
      <c r="D31" s="265">
        <v>1750</v>
      </c>
      <c r="E31" s="50" t="s">
        <v>265</v>
      </c>
      <c r="F31" s="50"/>
      <c r="G31" s="50"/>
      <c r="H31" s="50"/>
      <c r="I31" s="50"/>
      <c r="J31" s="50"/>
      <c r="K31" s="50"/>
      <c r="L31" s="50"/>
      <c r="M31" s="50"/>
      <c r="N31" s="50"/>
      <c r="O31" s="50"/>
      <c r="P31" s="50"/>
    </row>
    <row r="32" spans="1:16">
      <c r="A32" s="53" t="s">
        <v>115</v>
      </c>
      <c r="B32" s="231">
        <v>2450</v>
      </c>
      <c r="C32" s="203"/>
      <c r="D32" s="265">
        <v>2450</v>
      </c>
      <c r="E32" s="50" t="s">
        <v>265</v>
      </c>
      <c r="F32" s="50"/>
      <c r="G32" s="50"/>
      <c r="H32" s="50"/>
      <c r="I32" s="50"/>
      <c r="J32" s="50"/>
      <c r="K32" s="50"/>
      <c r="L32" s="50"/>
      <c r="M32" s="50"/>
      <c r="N32" s="50"/>
      <c r="O32" s="50"/>
      <c r="P32" s="50"/>
    </row>
    <row r="33" spans="1:31">
      <c r="A33" s="53" t="s">
        <v>116</v>
      </c>
      <c r="B33" s="231">
        <v>225</v>
      </c>
      <c r="C33" s="203"/>
      <c r="D33" s="265">
        <v>220</v>
      </c>
      <c r="E33" s="252" t="s">
        <v>265</v>
      </c>
      <c r="F33" s="50"/>
      <c r="G33" s="50"/>
      <c r="H33" s="50"/>
      <c r="I33" s="50"/>
      <c r="J33" s="50"/>
      <c r="K33" s="50"/>
      <c r="L33" s="50"/>
      <c r="M33" s="50"/>
      <c r="N33" s="50"/>
      <c r="O33" s="50"/>
      <c r="P33" s="50"/>
    </row>
    <row r="34" spans="1:31">
      <c r="A34" s="53" t="s">
        <v>227</v>
      </c>
      <c r="B34" s="231">
        <v>2300</v>
      </c>
      <c r="C34" s="203"/>
      <c r="D34" s="265">
        <v>2200</v>
      </c>
      <c r="E34" s="50" t="s">
        <v>265</v>
      </c>
      <c r="F34" s="50"/>
      <c r="G34" s="50"/>
      <c r="H34" s="50"/>
      <c r="I34" s="50"/>
      <c r="J34" s="50"/>
      <c r="K34" s="50"/>
      <c r="L34" s="50"/>
      <c r="M34" s="50"/>
      <c r="N34" s="50"/>
      <c r="O34" s="50"/>
      <c r="P34" s="50"/>
    </row>
    <row r="35" spans="1:31">
      <c r="A35" s="53"/>
      <c r="B35" s="224"/>
      <c r="C35" s="203"/>
      <c r="D35" s="266"/>
      <c r="E35" s="50"/>
      <c r="F35" s="50"/>
      <c r="G35" s="50"/>
      <c r="H35" s="50"/>
      <c r="I35" s="50"/>
      <c r="J35" s="50"/>
      <c r="K35" s="50"/>
      <c r="L35" s="50"/>
      <c r="M35" s="50"/>
      <c r="N35" s="50"/>
      <c r="O35" s="50"/>
      <c r="P35" s="50"/>
    </row>
    <row r="36" spans="1:31">
      <c r="A36" s="53" t="s">
        <v>117</v>
      </c>
      <c r="B36" s="231">
        <v>0</v>
      </c>
      <c r="C36" s="203"/>
      <c r="D36" s="267">
        <v>0</v>
      </c>
      <c r="E36" s="50" t="s">
        <v>265</v>
      </c>
      <c r="F36" s="50"/>
      <c r="G36" s="50"/>
      <c r="H36" s="50"/>
      <c r="I36" s="50"/>
      <c r="J36" s="50"/>
      <c r="K36" s="50"/>
      <c r="L36" s="50"/>
      <c r="M36" s="50"/>
      <c r="N36" s="50"/>
      <c r="O36" s="50"/>
      <c r="P36" s="50"/>
    </row>
    <row r="37" spans="1:31">
      <c r="A37" s="53" t="s">
        <v>142</v>
      </c>
      <c r="B37" s="231">
        <v>32000</v>
      </c>
      <c r="C37" s="203"/>
      <c r="D37" s="267">
        <v>30000</v>
      </c>
      <c r="E37" s="50" t="s">
        <v>265</v>
      </c>
      <c r="F37" s="50"/>
      <c r="G37" s="50"/>
      <c r="H37" s="50"/>
      <c r="I37" s="50"/>
      <c r="J37" s="50"/>
      <c r="K37" s="50"/>
      <c r="L37" s="50"/>
      <c r="M37" s="50"/>
      <c r="N37" s="50"/>
      <c r="O37" s="50"/>
      <c r="P37" s="50"/>
    </row>
    <row r="38" spans="1:31" ht="13.5" thickBot="1">
      <c r="A38" s="53" t="s">
        <v>5</v>
      </c>
      <c r="B38" s="231">
        <v>0</v>
      </c>
      <c r="C38" s="203"/>
      <c r="D38" s="268">
        <v>0</v>
      </c>
      <c r="E38" s="50" t="s">
        <v>265</v>
      </c>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147</v>
      </c>
      <c r="C40" s="56" t="s">
        <v>148</v>
      </c>
      <c r="D40" s="56" t="s">
        <v>146</v>
      </c>
      <c r="E40" s="50" t="s">
        <v>224</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500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1500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220</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219</v>
      </c>
      <c r="B47" s="59">
        <v>0.3</v>
      </c>
      <c r="C47" s="59">
        <v>0.2</v>
      </c>
      <c r="D47" s="59">
        <v>0.2</v>
      </c>
      <c r="E47" s="50"/>
      <c r="F47" s="50"/>
      <c r="G47" s="50"/>
      <c r="H47" s="59"/>
      <c r="I47" s="59"/>
      <c r="J47" s="59"/>
      <c r="K47" s="50"/>
      <c r="L47" s="50"/>
      <c r="M47" s="50"/>
      <c r="N47" s="50"/>
      <c r="O47" s="50"/>
      <c r="P47" s="50"/>
      <c r="AD47" s="57"/>
      <c r="AE47" s="57"/>
    </row>
    <row r="48" spans="1:31">
      <c r="A48" s="53" t="s">
        <v>37</v>
      </c>
      <c r="B48" s="58">
        <v>3000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104</v>
      </c>
      <c r="B49" s="58">
        <v>6000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124</v>
      </c>
      <c r="B50" s="58">
        <v>3000</v>
      </c>
      <c r="C50" s="58">
        <v>4500</v>
      </c>
      <c r="D50" s="58">
        <v>4500</v>
      </c>
      <c r="E50" s="50" t="s">
        <v>105</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119</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119</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125</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110</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25</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230</v>
      </c>
      <c r="B69" s="64"/>
      <c r="C69" s="64"/>
      <c r="D69" s="64"/>
      <c r="E69" s="50"/>
      <c r="F69" s="50"/>
      <c r="G69" s="50"/>
      <c r="H69" s="64"/>
      <c r="I69" s="64"/>
      <c r="J69" s="64"/>
      <c r="K69" s="50"/>
      <c r="L69" s="50"/>
      <c r="M69" s="50"/>
      <c r="N69" s="50"/>
      <c r="O69" s="50"/>
      <c r="P69" s="50"/>
      <c r="AD69" s="57"/>
      <c r="AE69" s="57"/>
    </row>
    <row r="70" spans="1:31">
      <c r="A70" s="226" t="s">
        <v>65</v>
      </c>
      <c r="B70" s="58">
        <v>40</v>
      </c>
      <c r="C70" s="58">
        <v>0</v>
      </c>
      <c r="D70" s="58">
        <v>0</v>
      </c>
      <c r="E70" s="50"/>
      <c r="F70" s="50"/>
      <c r="G70" s="50"/>
      <c r="H70" s="64"/>
      <c r="I70" s="64"/>
      <c r="J70" s="64"/>
      <c r="K70" s="50"/>
      <c r="L70" s="50"/>
      <c r="M70" s="50"/>
      <c r="N70" s="50"/>
      <c r="O70" s="50"/>
      <c r="P70" s="50"/>
      <c r="AD70" s="57"/>
      <c r="AE70" s="57"/>
    </row>
    <row r="71" spans="1:31">
      <c r="A71" s="226" t="s">
        <v>66</v>
      </c>
      <c r="B71" s="64">
        <v>0</v>
      </c>
      <c r="C71" s="64">
        <v>0</v>
      </c>
      <c r="D71" s="64">
        <v>0</v>
      </c>
      <c r="E71" s="50"/>
      <c r="F71" s="50"/>
      <c r="G71" s="50"/>
      <c r="H71" s="64"/>
      <c r="I71" s="64"/>
      <c r="J71" s="64"/>
      <c r="K71" s="50"/>
      <c r="L71" s="50"/>
      <c r="M71" s="50"/>
      <c r="N71" s="50"/>
      <c r="O71" s="50"/>
      <c r="P71" s="50"/>
      <c r="AD71" s="57"/>
      <c r="AE71" s="57"/>
    </row>
    <row r="72" spans="1:31">
      <c r="A72" s="226" t="s">
        <v>67</v>
      </c>
      <c r="B72" s="58">
        <v>0</v>
      </c>
      <c r="C72" s="58">
        <v>0</v>
      </c>
      <c r="D72" s="58">
        <v>0</v>
      </c>
      <c r="E72" s="50"/>
      <c r="F72" s="50"/>
      <c r="G72" s="50"/>
      <c r="H72" s="64"/>
      <c r="I72" s="64"/>
      <c r="J72" s="64"/>
      <c r="K72" s="50"/>
      <c r="L72" s="50"/>
      <c r="M72" s="50"/>
      <c r="N72" s="50"/>
      <c r="O72" s="50"/>
      <c r="P72" s="50"/>
      <c r="AD72" s="57"/>
      <c r="AE72" s="57"/>
    </row>
    <row r="73" spans="1:31">
      <c r="A73" s="226" t="s">
        <v>68</v>
      </c>
      <c r="B73" s="64">
        <v>0</v>
      </c>
      <c r="C73" s="64">
        <v>1</v>
      </c>
      <c r="D73" s="64">
        <v>1</v>
      </c>
      <c r="E73" s="50"/>
      <c r="F73" s="50"/>
      <c r="G73" s="50"/>
      <c r="H73" s="64"/>
      <c r="I73" s="64"/>
      <c r="J73" s="64"/>
      <c r="K73" s="50"/>
      <c r="L73" s="50"/>
      <c r="M73" s="50"/>
      <c r="N73" s="50"/>
      <c r="O73" s="50"/>
      <c r="P73" s="50"/>
      <c r="AD73" s="57"/>
      <c r="AE73" s="57"/>
    </row>
    <row r="74" spans="1:31">
      <c r="A74" s="226" t="s">
        <v>69</v>
      </c>
      <c r="B74" s="64">
        <v>0</v>
      </c>
      <c r="C74" s="64">
        <v>1</v>
      </c>
      <c r="D74" s="64">
        <v>1</v>
      </c>
      <c r="E74" s="50"/>
      <c r="F74" s="50"/>
      <c r="G74" s="50"/>
      <c r="H74" s="64"/>
      <c r="I74" s="64"/>
      <c r="J74" s="64"/>
      <c r="K74" s="50"/>
      <c r="L74" s="50"/>
      <c r="M74" s="50"/>
      <c r="N74" s="50"/>
      <c r="O74" s="50"/>
      <c r="P74" s="50"/>
      <c r="AD74" s="57"/>
      <c r="AE74" s="57"/>
    </row>
    <row r="75" spans="1:31">
      <c r="A75" s="53" t="s">
        <v>109</v>
      </c>
      <c r="E75" s="50"/>
      <c r="F75" s="50"/>
      <c r="G75" s="50"/>
      <c r="K75" s="50"/>
      <c r="L75" s="50"/>
      <c r="M75" s="50"/>
      <c r="N75" s="50"/>
      <c r="O75" s="50"/>
      <c r="P75" s="50"/>
    </row>
    <row r="76" spans="1:31">
      <c r="A76" s="63" t="s">
        <v>65</v>
      </c>
      <c r="B76" s="58">
        <v>25</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111</v>
      </c>
      <c r="E81" s="50"/>
      <c r="F81" s="50"/>
      <c r="G81" s="50"/>
      <c r="K81" s="50"/>
      <c r="L81" s="50"/>
      <c r="M81" s="50"/>
      <c r="N81" s="50"/>
      <c r="O81" s="50"/>
      <c r="P81" s="50"/>
    </row>
    <row r="82" spans="1:16">
      <c r="A82" s="63" t="s">
        <v>65</v>
      </c>
      <c r="B82" s="58">
        <v>40</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215</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216</v>
      </c>
      <c r="B93" s="48"/>
      <c r="C93" s="48"/>
      <c r="D93" s="48"/>
      <c r="E93" s="51"/>
      <c r="F93" s="51"/>
      <c r="G93" s="51"/>
      <c r="K93" s="51"/>
      <c r="L93" s="51"/>
      <c r="M93" s="51"/>
      <c r="N93" s="51"/>
      <c r="O93" s="51"/>
      <c r="P93" s="51"/>
    </row>
    <row r="94" spans="1:16">
      <c r="A94" s="226" t="s">
        <v>65</v>
      </c>
      <c r="B94" s="58">
        <v>0</v>
      </c>
      <c r="C94" s="58">
        <v>0</v>
      </c>
      <c r="D94" s="58">
        <v>0</v>
      </c>
      <c r="E94" s="51"/>
      <c r="F94" s="51"/>
      <c r="G94" s="51"/>
      <c r="H94" s="58"/>
      <c r="I94" s="58"/>
      <c r="J94" s="58"/>
      <c r="K94" s="51"/>
      <c r="L94" s="51"/>
      <c r="M94" s="51"/>
      <c r="N94" s="51"/>
      <c r="O94" s="51"/>
      <c r="P94" s="51"/>
    </row>
    <row r="95" spans="1:16">
      <c r="A95" s="226" t="s">
        <v>66</v>
      </c>
      <c r="B95" s="64">
        <v>0</v>
      </c>
      <c r="C95" s="64">
        <v>0</v>
      </c>
      <c r="D95" s="64">
        <v>0</v>
      </c>
      <c r="E95" s="51"/>
      <c r="F95" s="51"/>
      <c r="G95" s="51"/>
      <c r="H95" s="64"/>
      <c r="I95" s="64"/>
      <c r="J95" s="64"/>
      <c r="K95" s="51"/>
      <c r="L95" s="51"/>
      <c r="M95" s="51"/>
      <c r="N95" s="51"/>
      <c r="O95" s="51"/>
      <c r="P95" s="51"/>
    </row>
    <row r="96" spans="1:16">
      <c r="A96" s="226" t="s">
        <v>67</v>
      </c>
      <c r="B96" s="58">
        <v>0</v>
      </c>
      <c r="C96" s="58">
        <v>0</v>
      </c>
      <c r="D96" s="58">
        <v>0</v>
      </c>
      <c r="E96" s="51"/>
      <c r="F96" s="51"/>
      <c r="G96" s="51"/>
      <c r="H96" s="58"/>
      <c r="I96" s="58"/>
      <c r="J96" s="58"/>
      <c r="K96" s="51"/>
      <c r="L96" s="51"/>
      <c r="M96" s="51"/>
      <c r="N96" s="51"/>
      <c r="O96" s="51"/>
      <c r="P96" s="51"/>
    </row>
    <row r="97" spans="1:16">
      <c r="A97" s="226" t="s">
        <v>68</v>
      </c>
      <c r="B97" s="64">
        <v>0</v>
      </c>
      <c r="C97" s="64">
        <v>1</v>
      </c>
      <c r="D97" s="64">
        <v>1</v>
      </c>
      <c r="E97" s="51"/>
      <c r="F97" s="51"/>
      <c r="G97" s="51"/>
      <c r="H97" s="64"/>
      <c r="I97" s="64"/>
      <c r="J97" s="64"/>
      <c r="K97" s="51"/>
      <c r="L97" s="51"/>
      <c r="M97" s="51"/>
      <c r="N97" s="51"/>
      <c r="O97" s="51"/>
      <c r="P97" s="51"/>
    </row>
    <row r="98" spans="1:16">
      <c r="A98" s="226" t="s">
        <v>69</v>
      </c>
      <c r="B98" s="64">
        <v>1</v>
      </c>
      <c r="C98" s="64">
        <v>1</v>
      </c>
      <c r="D98" s="64">
        <v>1</v>
      </c>
      <c r="E98" s="51"/>
      <c r="F98" s="51"/>
      <c r="G98" s="51"/>
      <c r="H98" s="64"/>
      <c r="I98" s="64"/>
      <c r="J98" s="64"/>
      <c r="K98" s="51"/>
      <c r="L98" s="51"/>
      <c r="M98" s="51"/>
      <c r="N98" s="51"/>
      <c r="O98" s="51"/>
      <c r="P98" s="51"/>
    </row>
    <row r="99" spans="1:16">
      <c r="A99" s="53" t="s">
        <v>112</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113</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213</v>
      </c>
      <c r="B111" s="48"/>
      <c r="C111" s="48"/>
      <c r="D111" s="48"/>
      <c r="E111" s="51"/>
      <c r="F111" s="51"/>
      <c r="G111" s="51"/>
      <c r="H111" s="64"/>
      <c r="I111" s="64"/>
      <c r="J111" s="64"/>
      <c r="K111" s="51"/>
      <c r="L111" s="51"/>
      <c r="M111" s="51"/>
      <c r="N111" s="51"/>
      <c r="O111" s="51"/>
      <c r="P111" s="51"/>
    </row>
    <row r="112" spans="1:16">
      <c r="A112" s="226" t="s">
        <v>65</v>
      </c>
      <c r="B112" s="58">
        <v>50</v>
      </c>
      <c r="C112" s="58">
        <v>0</v>
      </c>
      <c r="D112" s="58">
        <v>0</v>
      </c>
      <c r="E112" s="51"/>
      <c r="F112" s="51"/>
      <c r="G112" s="51"/>
      <c r="H112" s="64"/>
      <c r="I112" s="64"/>
      <c r="J112" s="64"/>
      <c r="K112" s="51"/>
      <c r="L112" s="51"/>
      <c r="M112" s="51"/>
      <c r="N112" s="51"/>
      <c r="O112" s="51"/>
      <c r="P112" s="51"/>
    </row>
    <row r="113" spans="1:16">
      <c r="A113" s="226" t="s">
        <v>66</v>
      </c>
      <c r="B113" s="64">
        <v>0</v>
      </c>
      <c r="C113" s="64">
        <v>0</v>
      </c>
      <c r="D113" s="64">
        <v>0</v>
      </c>
      <c r="E113" s="51"/>
      <c r="F113" s="51"/>
      <c r="G113" s="51"/>
      <c r="H113" s="64"/>
      <c r="I113" s="64"/>
      <c r="J113" s="64"/>
      <c r="K113" s="51"/>
      <c r="L113" s="51"/>
      <c r="M113" s="51"/>
      <c r="N113" s="51"/>
      <c r="O113" s="51"/>
      <c r="P113" s="51"/>
    </row>
    <row r="114" spans="1:16">
      <c r="A114" s="226" t="s">
        <v>67</v>
      </c>
      <c r="B114" s="58">
        <v>0</v>
      </c>
      <c r="C114" s="58">
        <v>0</v>
      </c>
      <c r="D114" s="58">
        <v>0</v>
      </c>
      <c r="E114" s="51"/>
      <c r="F114" s="51"/>
      <c r="G114" s="51"/>
      <c r="H114" s="64"/>
      <c r="I114" s="64"/>
      <c r="J114" s="64"/>
      <c r="K114" s="51"/>
      <c r="L114" s="51"/>
      <c r="M114" s="51"/>
      <c r="N114" s="51"/>
      <c r="O114" s="51"/>
      <c r="P114" s="51"/>
    </row>
    <row r="115" spans="1:16">
      <c r="A115" s="226" t="s">
        <v>68</v>
      </c>
      <c r="B115" s="64">
        <v>0</v>
      </c>
      <c r="C115" s="64">
        <v>1</v>
      </c>
      <c r="D115" s="64">
        <v>1</v>
      </c>
      <c r="E115" s="51"/>
      <c r="F115" s="51"/>
      <c r="G115" s="51"/>
      <c r="H115" s="64"/>
      <c r="I115" s="64"/>
      <c r="J115" s="64"/>
      <c r="K115" s="51"/>
      <c r="L115" s="51"/>
      <c r="M115" s="51"/>
      <c r="N115" s="51"/>
      <c r="O115" s="51"/>
      <c r="P115" s="51"/>
    </row>
    <row r="116" spans="1:16">
      <c r="A116" s="226" t="s">
        <v>69</v>
      </c>
      <c r="B116" s="64">
        <v>0</v>
      </c>
      <c r="C116" s="64">
        <v>1</v>
      </c>
      <c r="D116" s="64">
        <v>1</v>
      </c>
      <c r="E116" s="51"/>
      <c r="F116" s="51"/>
      <c r="G116" s="51"/>
      <c r="H116" s="64"/>
      <c r="I116" s="64"/>
      <c r="J116" s="64"/>
      <c r="K116" s="51"/>
      <c r="L116" s="51"/>
      <c r="M116" s="51"/>
      <c r="N116" s="51"/>
      <c r="O116" s="51"/>
      <c r="P116" s="51"/>
    </row>
    <row r="117" spans="1:16">
      <c r="A117" s="60" t="s">
        <v>214</v>
      </c>
      <c r="B117" s="48"/>
      <c r="C117" s="48"/>
      <c r="D117" s="48"/>
      <c r="E117" s="51"/>
      <c r="F117" s="51"/>
      <c r="G117" s="51"/>
      <c r="H117" s="64"/>
      <c r="I117" s="64"/>
      <c r="J117" s="64"/>
      <c r="K117" s="51"/>
      <c r="L117" s="51"/>
      <c r="M117" s="51"/>
      <c r="N117" s="51"/>
      <c r="O117" s="51"/>
      <c r="P117" s="51"/>
    </row>
    <row r="118" spans="1:16">
      <c r="A118" s="226" t="s">
        <v>65</v>
      </c>
      <c r="B118" s="58">
        <v>0</v>
      </c>
      <c r="C118" s="58">
        <v>0</v>
      </c>
      <c r="D118" s="58">
        <v>0</v>
      </c>
      <c r="E118" s="51"/>
      <c r="F118" s="51"/>
      <c r="G118" s="51"/>
      <c r="H118" s="64"/>
      <c r="I118" s="64"/>
      <c r="J118" s="64"/>
      <c r="K118" s="51"/>
      <c r="L118" s="51"/>
      <c r="M118" s="51"/>
      <c r="N118" s="51"/>
      <c r="O118" s="51"/>
      <c r="P118" s="51"/>
    </row>
    <row r="119" spans="1:16">
      <c r="A119" s="226" t="s">
        <v>66</v>
      </c>
      <c r="B119" s="64">
        <v>0</v>
      </c>
      <c r="C119" s="64">
        <v>0</v>
      </c>
      <c r="D119" s="64">
        <v>0</v>
      </c>
      <c r="E119" s="51"/>
      <c r="F119" s="51"/>
      <c r="G119" s="51"/>
      <c r="H119" s="64"/>
      <c r="I119" s="64"/>
      <c r="J119" s="64"/>
      <c r="K119" s="51"/>
      <c r="L119" s="51"/>
      <c r="M119" s="51"/>
      <c r="N119" s="51"/>
      <c r="O119" s="51"/>
      <c r="P119" s="51"/>
    </row>
    <row r="120" spans="1:16">
      <c r="A120" s="226" t="s">
        <v>67</v>
      </c>
      <c r="B120" s="58">
        <v>0</v>
      </c>
      <c r="C120" s="58">
        <v>0</v>
      </c>
      <c r="D120" s="58">
        <v>0</v>
      </c>
      <c r="E120" s="51"/>
      <c r="F120" s="51"/>
      <c r="G120" s="51"/>
      <c r="H120" s="64"/>
      <c r="I120" s="64"/>
      <c r="J120" s="64"/>
      <c r="K120" s="51"/>
      <c r="L120" s="51"/>
      <c r="M120" s="51"/>
      <c r="N120" s="51"/>
      <c r="O120" s="51"/>
      <c r="P120" s="51"/>
    </row>
    <row r="121" spans="1:16">
      <c r="A121" s="226" t="s">
        <v>68</v>
      </c>
      <c r="B121" s="64">
        <v>0</v>
      </c>
      <c r="C121" s="64">
        <v>1</v>
      </c>
      <c r="D121" s="64">
        <v>1</v>
      </c>
      <c r="E121" s="51"/>
      <c r="F121" s="51"/>
      <c r="G121" s="51"/>
      <c r="H121" s="64"/>
      <c r="I121" s="64"/>
      <c r="J121" s="64"/>
      <c r="K121" s="51"/>
      <c r="L121" s="51"/>
      <c r="M121" s="51"/>
      <c r="N121" s="51"/>
      <c r="O121" s="51"/>
      <c r="P121" s="51"/>
    </row>
    <row r="122" spans="1:16">
      <c r="A122" s="226" t="s">
        <v>69</v>
      </c>
      <c r="B122" s="64">
        <v>1</v>
      </c>
      <c r="C122" s="64">
        <v>1</v>
      </c>
      <c r="D122" s="64">
        <v>1</v>
      </c>
      <c r="E122" s="51"/>
      <c r="F122" s="51"/>
      <c r="G122" s="51"/>
      <c r="H122" s="64"/>
      <c r="I122" s="64"/>
      <c r="J122" s="64"/>
      <c r="K122" s="51"/>
      <c r="L122" s="51"/>
      <c r="M122" s="51"/>
      <c r="N122" s="51"/>
      <c r="O122" s="51"/>
      <c r="P122" s="51"/>
    </row>
    <row r="123" spans="1:16">
      <c r="A123" s="53" t="s">
        <v>217</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218</v>
      </c>
      <c r="B129" s="48"/>
      <c r="C129" s="48"/>
      <c r="D129" s="48"/>
      <c r="E129" s="50"/>
      <c r="F129" s="50"/>
      <c r="G129" s="50"/>
      <c r="H129" s="64"/>
      <c r="I129" s="64"/>
      <c r="J129" s="64"/>
      <c r="K129" s="50"/>
      <c r="L129" s="50"/>
      <c r="M129" s="50"/>
      <c r="N129" s="50"/>
      <c r="O129" s="50"/>
      <c r="P129" s="50"/>
    </row>
    <row r="130" spans="1:16">
      <c r="A130" s="226" t="s">
        <v>65</v>
      </c>
      <c r="B130" s="68">
        <v>0</v>
      </c>
      <c r="C130" s="68">
        <v>0</v>
      </c>
      <c r="D130" s="68">
        <v>0</v>
      </c>
      <c r="E130" s="50"/>
      <c r="F130" s="50"/>
      <c r="G130" s="50"/>
      <c r="H130" s="64"/>
      <c r="I130" s="64"/>
      <c r="J130" s="64"/>
      <c r="K130" s="50"/>
      <c r="L130" s="50"/>
      <c r="M130" s="50"/>
      <c r="N130" s="50"/>
      <c r="O130" s="50"/>
      <c r="P130" s="50"/>
    </row>
    <row r="131" spans="1:16">
      <c r="A131" s="226" t="s">
        <v>66</v>
      </c>
      <c r="B131" s="64">
        <v>0</v>
      </c>
      <c r="C131" s="64">
        <v>0</v>
      </c>
      <c r="D131" s="64">
        <v>0</v>
      </c>
      <c r="E131" s="50"/>
      <c r="F131" s="50"/>
      <c r="G131" s="50"/>
      <c r="H131" s="64"/>
      <c r="I131" s="64"/>
      <c r="J131" s="64"/>
      <c r="K131" s="50"/>
      <c r="L131" s="50"/>
      <c r="M131" s="50"/>
      <c r="N131" s="50"/>
      <c r="O131" s="50"/>
      <c r="P131" s="50"/>
    </row>
    <row r="132" spans="1:16">
      <c r="A132" s="226" t="s">
        <v>67</v>
      </c>
      <c r="B132" s="58">
        <v>0</v>
      </c>
      <c r="C132" s="58">
        <v>0</v>
      </c>
      <c r="D132" s="58">
        <v>0</v>
      </c>
      <c r="E132" s="50"/>
      <c r="F132" s="50"/>
      <c r="G132" s="50"/>
      <c r="H132" s="64"/>
      <c r="I132" s="64"/>
      <c r="J132" s="64"/>
      <c r="K132" s="50"/>
      <c r="L132" s="50"/>
      <c r="M132" s="50"/>
      <c r="N132" s="50"/>
      <c r="O132" s="50"/>
      <c r="P132" s="50"/>
    </row>
    <row r="133" spans="1:16">
      <c r="A133" s="226" t="s">
        <v>68</v>
      </c>
      <c r="B133" s="64">
        <v>0</v>
      </c>
      <c r="C133" s="64">
        <v>1</v>
      </c>
      <c r="D133" s="64">
        <v>1</v>
      </c>
      <c r="E133" s="50"/>
      <c r="F133" s="50"/>
      <c r="G133" s="50"/>
      <c r="H133" s="64"/>
      <c r="I133" s="64"/>
      <c r="J133" s="64"/>
      <c r="K133" s="50"/>
      <c r="L133" s="50"/>
      <c r="M133" s="50"/>
      <c r="N133" s="50"/>
      <c r="O133" s="50"/>
      <c r="P133" s="50"/>
    </row>
    <row r="134" spans="1:16">
      <c r="A134" s="226" t="s">
        <v>69</v>
      </c>
      <c r="B134" s="64">
        <v>1</v>
      </c>
      <c r="C134" s="64">
        <v>1</v>
      </c>
      <c r="D134" s="64">
        <v>1</v>
      </c>
      <c r="E134" s="50"/>
      <c r="F134" s="50"/>
      <c r="G134" s="50"/>
      <c r="H134" s="64"/>
      <c r="I134" s="64"/>
      <c r="J134" s="64"/>
      <c r="K134" s="50"/>
      <c r="L134" s="50"/>
      <c r="M134" s="50"/>
      <c r="N134" s="50"/>
      <c r="O134" s="50"/>
      <c r="P134" s="50"/>
    </row>
    <row r="135" spans="1:16">
      <c r="A135" s="53" t="s">
        <v>114</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115</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116</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120</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117</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266</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75</v>
      </c>
      <c r="B192" s="51"/>
      <c r="C192" s="51"/>
      <c r="D192" s="51"/>
      <c r="H192" s="51"/>
      <c r="I192" s="51"/>
      <c r="J192" s="51"/>
    </row>
    <row r="193" spans="1:10">
      <c r="A193" s="53" t="s">
        <v>2</v>
      </c>
      <c r="B193" s="68">
        <v>106</v>
      </c>
      <c r="C193" s="68">
        <v>67</v>
      </c>
      <c r="D193" s="68"/>
      <c r="E193" s="205"/>
      <c r="F193" s="205"/>
      <c r="H193" s="68"/>
      <c r="I193" s="68"/>
      <c r="J193" s="68"/>
    </row>
    <row r="194" spans="1:10">
      <c r="A194" s="53" t="s">
        <v>31</v>
      </c>
      <c r="B194" s="68">
        <v>418</v>
      </c>
      <c r="C194" s="68">
        <v>282</v>
      </c>
      <c r="D194" s="68"/>
      <c r="H194" s="68"/>
      <c r="I194" s="68"/>
      <c r="J194" s="68"/>
    </row>
    <row r="195" spans="1:10">
      <c r="A195" s="53" t="s">
        <v>26</v>
      </c>
      <c r="B195" s="68">
        <v>347</v>
      </c>
      <c r="C195" s="68">
        <v>233</v>
      </c>
      <c r="D195" s="68"/>
    </row>
    <row r="196" spans="1:10">
      <c r="A196" s="53" t="s">
        <v>19</v>
      </c>
      <c r="B196" s="68">
        <v>347</v>
      </c>
      <c r="C196" s="68">
        <v>233</v>
      </c>
      <c r="D196" s="68"/>
    </row>
    <row r="197" spans="1:10">
      <c r="A197" s="53" t="s">
        <v>24</v>
      </c>
      <c r="B197" s="68">
        <v>650</v>
      </c>
      <c r="C197" s="68">
        <v>443</v>
      </c>
      <c r="D197" s="68"/>
    </row>
    <row r="198" spans="1:10">
      <c r="A198" s="53" t="s">
        <v>23</v>
      </c>
      <c r="B198" s="68">
        <v>650</v>
      </c>
      <c r="C198" s="68">
        <v>443</v>
      </c>
      <c r="D198" s="68"/>
    </row>
    <row r="200" spans="1:10">
      <c r="A200" s="51" t="s">
        <v>131</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245</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5"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5" t="s">
        <v>171</v>
      </c>
    </row>
    <row r="207" spans="1:10">
      <c r="A207" s="195"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G19" sqref="G19"/>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00000000000001" customHeight="1">
      <c r="A4" s="75"/>
      <c r="B4" s="75"/>
      <c r="C4" s="76"/>
      <c r="E4" s="74" t="s">
        <v>76</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row>
    <row r="9" spans="1:32" s="98" customFormat="1" ht="17.100000000000001" customHeight="1">
      <c r="T9" s="99">
        <v>0</v>
      </c>
      <c r="U9" s="100"/>
      <c r="V9" s="101">
        <v>0</v>
      </c>
      <c r="W9" s="101">
        <v>0</v>
      </c>
      <c r="X9" s="101">
        <v>0</v>
      </c>
      <c r="Y9" s="101">
        <v>0</v>
      </c>
      <c r="Z9" s="101">
        <v>0</v>
      </c>
      <c r="AA9" s="101">
        <v>0</v>
      </c>
      <c r="AB9" s="101">
        <v>0</v>
      </c>
      <c r="AC9" s="101">
        <v>0</v>
      </c>
      <c r="AD9" s="100">
        <v>0</v>
      </c>
      <c r="AE9" s="100"/>
    </row>
    <row r="10" spans="1:32"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25</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00000000000001" customHeight="1">
      <c r="A12" s="105" t="s">
        <v>234</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40</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00000000000001" customHeight="1">
      <c r="A13" s="105" t="s">
        <v>233</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25</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00000000000001" customHeight="1">
      <c r="A14" s="105" t="s">
        <v>111</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40</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00000000000001" customHeight="1">
      <c r="A15" s="105" t="s">
        <v>215</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00000000000001" customHeight="1">
      <c r="A16" s="105" t="s">
        <v>216</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00000000000001" customHeight="1">
      <c r="A17" s="105" t="s">
        <v>112</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00000000000001" customHeight="1">
      <c r="A18" s="105" t="s">
        <v>113</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00000000000001" customHeight="1">
      <c r="A19" s="105" t="s">
        <v>213</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00000000000001" customHeight="1">
      <c r="A20" s="105" t="s">
        <v>214</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00000000000001" customHeight="1">
      <c r="A21" s="105" t="s">
        <v>217</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00000000000001" customHeight="1">
      <c r="A22" s="105" t="s">
        <v>218</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00000000000001" customHeight="1">
      <c r="A23" s="105" t="s">
        <v>114</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00000000000001" customHeight="1">
      <c r="A24" s="105" t="s">
        <v>115</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00000000000001" customHeight="1">
      <c r="A25" s="105" t="s">
        <v>116</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00000000000001" customHeight="1">
      <c r="A26" s="105" t="s">
        <v>225</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00000000000001" customHeight="1" outlineLevel="2">
      <c r="A27" s="105" t="s">
        <v>226</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00000000000001" customHeight="1">
      <c r="A28" s="105" t="s">
        <v>117</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00000000000001"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88</v>
      </c>
      <c r="O32" s="107">
        <f>IF(E71=1,Asmpt!B44,IF(Asmpt!B53=1,Asmpt!B44,Asmpt!B45))</f>
        <v>500</v>
      </c>
      <c r="P32" s="107">
        <f>IF(E71=1,O32,Asmpt!B45)</f>
        <v>500</v>
      </c>
      <c r="Q32" s="107"/>
    </row>
    <row r="33" spans="1:31" s="88" customFormat="1" ht="17.100000000000001" customHeight="1">
      <c r="A33" s="89" t="s">
        <v>94</v>
      </c>
      <c r="B33" s="89"/>
      <c r="C33" s="90" t="str">
        <f>Asmpt!$B$43</f>
        <v>PPO</v>
      </c>
      <c r="D33" s="79"/>
      <c r="E33" s="79"/>
      <c r="F33" s="79"/>
      <c r="G33" s="79"/>
      <c r="H33" s="79"/>
      <c r="I33" s="79"/>
      <c r="J33" s="79"/>
      <c r="K33" s="79"/>
      <c r="L33" s="79"/>
      <c r="M33" s="79"/>
      <c r="N33" s="79" t="s">
        <v>95</v>
      </c>
      <c r="O33" s="107">
        <f>IF(E71=1,Asmpt!B48,IF(Asmpt!B54=1,Asmpt!B48,Asmpt!B50))</f>
        <v>3000</v>
      </c>
      <c r="P33" s="107">
        <f>IF(E71=1,O33,Asmpt!B49)</f>
        <v>3000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N36" s="79">
        <f>5000-750</f>
        <v>4250</v>
      </c>
      <c r="O36" s="114"/>
      <c r="P36" s="114"/>
      <c r="Q36" s="114"/>
    </row>
    <row r="37" spans="1:31" s="79" customFormat="1" ht="17.100000000000001" customHeight="1">
      <c r="A37" s="79" t="str">
        <f>Asmpt!$AA$39</f>
        <v>(Less HSA Reimbursement)</v>
      </c>
      <c r="C37" s="107">
        <f>-MIN(SUM(C34:C36),INDEX(Asmpt!$B184:$B189,E71))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f>'Cost Estimator'!E57</f>
        <v>1272</v>
      </c>
    </row>
    <row r="41" spans="1:31" s="79" customFormat="1" ht="17.100000000000001" customHeight="1">
      <c r="B41" s="106"/>
      <c r="C41" s="106"/>
    </row>
    <row r="42" spans="1:31" s="88" customFormat="1" ht="17.100000000000001" customHeight="1">
      <c r="A42" s="117" t="s">
        <v>29</v>
      </c>
      <c r="B42" s="117"/>
      <c r="C42" s="118">
        <f>C38+C40</f>
        <v>1272</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t="str">
        <f>IF(OR(C33="HSA",C33="HRA"),IF(Asmpt!B$184+C37=0,0,Asmpt!B$184+C37),"NA")</f>
        <v>NA</v>
      </c>
      <c r="O44" s="116"/>
      <c r="P44" s="116"/>
      <c r="Q44" s="116"/>
    </row>
    <row r="45" spans="1:31" s="79" customFormat="1" ht="17.100000000000001" customHeight="1">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f>C40</f>
        <v>1272</v>
      </c>
      <c r="O47" s="116"/>
      <c r="P47" s="116"/>
      <c r="Q47" s="116"/>
    </row>
    <row r="48" spans="1:31" s="79" customFormat="1" ht="17.100000000000001" customHeight="1">
      <c r="A48" s="79" t="s">
        <v>104</v>
      </c>
      <c r="O48" s="116"/>
      <c r="P48" s="116"/>
      <c r="Q48" s="116"/>
    </row>
    <row r="49" spans="1:32" s="79" customFormat="1" ht="17.100000000000001" customHeight="1">
      <c r="A49" s="194" t="s">
        <v>157</v>
      </c>
      <c r="C49" s="79">
        <f>INDEX('Cost Estimator'!K5:K10,'Cost Estimator'!J4)</f>
        <v>1</v>
      </c>
      <c r="O49" s="116"/>
      <c r="P49" s="116"/>
      <c r="Q49" s="116"/>
    </row>
    <row r="50" spans="1:32" s="79" customFormat="1" ht="17.100000000000001" customHeight="1">
      <c r="A50" s="194" t="s">
        <v>158</v>
      </c>
      <c r="C50" s="79">
        <f>C49*Asmpt!B50</f>
        <v>3000</v>
      </c>
      <c r="O50" s="116"/>
      <c r="P50" s="116"/>
      <c r="Q50" s="116"/>
    </row>
    <row r="51" spans="1:32" s="79" customFormat="1" ht="17.100000000000001" customHeight="1">
      <c r="A51" s="194" t="s">
        <v>159</v>
      </c>
      <c r="C51" s="79">
        <f>Asmpt!B49</f>
        <v>6000</v>
      </c>
      <c r="O51" s="116"/>
      <c r="P51" s="116"/>
      <c r="Q51" s="116"/>
    </row>
    <row r="52" spans="1:32" s="79" customFormat="1" ht="17.100000000000001" customHeight="1">
      <c r="A52" s="194" t="s">
        <v>160</v>
      </c>
      <c r="C52" s="79">
        <f>MIN(C50:C51)</f>
        <v>3000</v>
      </c>
      <c r="O52" s="116"/>
      <c r="P52" s="116"/>
      <c r="Q52" s="116"/>
    </row>
    <row r="53" spans="1:32" s="79" customFormat="1" ht="17.100000000000001" customHeight="1">
      <c r="A53" s="79" t="s">
        <v>155</v>
      </c>
      <c r="C53" s="110">
        <f>-MIN(C52,INDEX(Asmpt!$B184:$B189,E71))</f>
        <v>0</v>
      </c>
      <c r="O53" s="116"/>
      <c r="P53" s="116"/>
      <c r="Q53" s="116"/>
    </row>
    <row r="54" spans="1:32" s="79" customFormat="1" ht="17.100000000000001" customHeight="1">
      <c r="A54" s="79" t="s">
        <v>29</v>
      </c>
      <c r="C54" s="110">
        <f>C47+C52+C53</f>
        <v>4272</v>
      </c>
      <c r="O54" s="116"/>
      <c r="P54" s="116"/>
      <c r="Q54" s="116"/>
    </row>
    <row r="55" spans="1:32" s="79" customFormat="1" ht="17.100000000000001" customHeight="1">
      <c r="O55" s="116"/>
      <c r="P55" s="116"/>
      <c r="Q55" s="116"/>
    </row>
    <row r="56" spans="1:32" s="79" customFormat="1" ht="17.100000000000001" customHeight="1">
      <c r="O56" s="116"/>
      <c r="P56" s="116"/>
      <c r="Q56" s="116"/>
    </row>
    <row r="57" spans="1:32" s="79" customFormat="1" ht="17.100000000000001" customHeight="1">
      <c r="A57" s="116" t="s">
        <v>74</v>
      </c>
      <c r="O57" s="114"/>
      <c r="P57" s="114"/>
      <c r="Q57" s="114"/>
    </row>
    <row r="58" spans="1:32" s="79" customFormat="1" ht="15.75">
      <c r="A58" s="79" t="s">
        <v>103</v>
      </c>
      <c r="M58" s="98"/>
      <c r="N58" s="98"/>
      <c r="O58" s="98"/>
      <c r="P58" s="98"/>
      <c r="Q58" s="98"/>
      <c r="R58" s="98"/>
      <c r="S58" s="98"/>
      <c r="T58" s="98"/>
      <c r="U58" s="98"/>
      <c r="V58" s="98"/>
      <c r="W58" s="98"/>
      <c r="X58" s="98"/>
      <c r="Y58" s="98"/>
      <c r="Z58" s="98"/>
      <c r="AA58" s="98"/>
      <c r="AB58" s="98"/>
      <c r="AC58" s="98"/>
      <c r="AD58" s="98"/>
      <c r="AE58" s="98"/>
      <c r="AF58" s="98"/>
    </row>
    <row r="59" spans="1:32" s="79" customFormat="1" ht="15.7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75"/>
    <row r="61" spans="1:32" s="119" customFormat="1" ht="15.75"/>
    <row r="62" spans="1:32" s="119" customFormat="1" ht="15.75">
      <c r="B62" s="120" t="s">
        <v>107</v>
      </c>
      <c r="C62" s="121"/>
      <c r="D62" s="121"/>
      <c r="E62" s="121"/>
      <c r="F62" s="121"/>
      <c r="G62" s="121"/>
      <c r="H62" s="121"/>
      <c r="I62" s="121"/>
      <c r="J62" s="121"/>
      <c r="K62" s="121"/>
      <c r="L62" s="122"/>
    </row>
    <row r="63" spans="1:32" s="119" customFormat="1" ht="15.75">
      <c r="B63" s="123" t="s">
        <v>2</v>
      </c>
      <c r="C63" s="124"/>
      <c r="D63" s="124"/>
      <c r="E63" s="125">
        <v>1</v>
      </c>
      <c r="F63" s="125"/>
      <c r="G63" s="125"/>
      <c r="H63" s="125">
        <v>0</v>
      </c>
      <c r="I63" s="125"/>
      <c r="J63" s="125"/>
      <c r="K63" s="125">
        <v>0</v>
      </c>
      <c r="L63" s="126"/>
    </row>
    <row r="64" spans="1:32"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topLeftCell="A4"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00000000000001" customHeight="1">
      <c r="A4" s="75"/>
      <c r="B4" s="75"/>
      <c r="C4" s="76"/>
      <c r="E4" s="74" t="s">
        <v>76</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234</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00000000000001" customHeight="1">
      <c r="A13" s="105" t="s">
        <v>233</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00000000000001" customHeight="1">
      <c r="A14" s="105" t="s">
        <v>111</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00000000000001" customHeight="1">
      <c r="A15" s="105" t="s">
        <v>215</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00000000000001" customHeight="1">
      <c r="A16" s="105" t="s">
        <v>216</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00000000000001" customHeight="1">
      <c r="A17" s="105" t="s">
        <v>112</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00000000000001" customHeight="1">
      <c r="A18" s="105" t="s">
        <v>113</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00000000000001" customHeight="1">
      <c r="A19" s="105" t="s">
        <v>213</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00000000000001" customHeight="1">
      <c r="A20" s="105" t="s">
        <v>214</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00000000000001" customHeight="1">
      <c r="A21" s="105" t="s">
        <v>217</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00000000000001" customHeight="1">
      <c r="A22" s="105" t="s">
        <v>218</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00000000000001" customHeight="1">
      <c r="A23" s="105" t="s">
        <v>114</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00000000000001" customHeight="1">
      <c r="A24" s="105" t="s">
        <v>115</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00000000000001" customHeight="1">
      <c r="A25" s="105" t="s">
        <v>116</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00000000000001" customHeight="1">
      <c r="A26" s="105" t="s">
        <v>225</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00000000000001" customHeight="1" outlineLevel="1">
      <c r="A27" s="105" t="s">
        <v>226</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00000000000001" customHeight="1">
      <c r="A28" s="105" t="s">
        <v>117</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00000000000001"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88</v>
      </c>
      <c r="O32" s="107">
        <f>IF(E71=1,Asmpt!$C44,IF(Asmpt!$C53=1,Asmpt!$C44,Asmpt!$C45))</f>
        <v>2800</v>
      </c>
      <c r="P32" s="107">
        <f>IF(E71=1,O32,Asmpt!$C45)</f>
        <v>2800</v>
      </c>
      <c r="Q32" s="107"/>
    </row>
    <row r="33" spans="1:31" s="88" customFormat="1" ht="17.100000000000001" customHeight="1">
      <c r="A33" s="89" t="s">
        <v>94</v>
      </c>
      <c r="B33" s="89"/>
      <c r="C33" s="90" t="str">
        <f>Asmpt!$C$43</f>
        <v>HSA</v>
      </c>
      <c r="D33" s="79"/>
      <c r="E33" s="79"/>
      <c r="F33" s="79"/>
      <c r="G33" s="79"/>
      <c r="H33" s="79"/>
      <c r="I33" s="79"/>
      <c r="J33" s="79"/>
      <c r="K33" s="79"/>
      <c r="L33" s="79"/>
      <c r="M33" s="79"/>
      <c r="N33" s="79" t="s">
        <v>95</v>
      </c>
      <c r="O33" s="107">
        <f>IF(E71=1,Asmpt!$C48,IF(Asmpt!$C54=1,Asmpt!$C48,Asmpt!$C50))</f>
        <v>4500</v>
      </c>
      <c r="P33" s="107">
        <f>IF(E71=1,O33,Asmpt!$C49)</f>
        <v>4500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-MIN(SUM(C34:C36),INDEX(Asmpt!$C184:$C189,'Plan 2 Calcs'!E71))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f>'Cost Estimator'!F57</f>
        <v>804</v>
      </c>
    </row>
    <row r="41" spans="1:31" s="79" customFormat="1" ht="17.100000000000001" customHeight="1">
      <c r="B41" s="106"/>
      <c r="C41" s="106"/>
    </row>
    <row r="42" spans="1:31" s="88" customFormat="1" ht="17.100000000000001" customHeight="1">
      <c r="A42" s="117" t="s">
        <v>29</v>
      </c>
      <c r="B42" s="117"/>
      <c r="C42" s="118">
        <f>C38+C40</f>
        <v>804</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IF(OR(C33="HSA",C33="HRA"),IF(Asmpt!$C$184+C37=0,0,Asmpt!$C$184+C37),"NA")</f>
        <v>1000</v>
      </c>
      <c r="O44" s="116"/>
      <c r="P44" s="116"/>
      <c r="Q44" s="116"/>
    </row>
    <row r="45" spans="1:31" s="79" customFormat="1" ht="17.100000000000001" customHeight="1">
      <c r="C45" s="107"/>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f>C40</f>
        <v>804</v>
      </c>
      <c r="O47" s="116"/>
      <c r="P47" s="116"/>
      <c r="Q47" s="116"/>
    </row>
    <row r="48" spans="1:31" s="79" customFormat="1" ht="17.100000000000001" customHeight="1">
      <c r="A48" s="79" t="s">
        <v>104</v>
      </c>
      <c r="O48" s="116"/>
      <c r="P48" s="116"/>
      <c r="Q48" s="116"/>
    </row>
    <row r="49" spans="1:34" s="79" customFormat="1" ht="17.100000000000001" customHeight="1">
      <c r="A49" s="194" t="s">
        <v>157</v>
      </c>
      <c r="C49" s="79">
        <f>INDEX('Cost Estimator'!K5:K10,'Cost Estimator'!J4)</f>
        <v>1</v>
      </c>
      <c r="O49" s="116"/>
      <c r="P49" s="116"/>
      <c r="Q49" s="116"/>
    </row>
    <row r="50" spans="1:34" s="79" customFormat="1" ht="17.100000000000001" customHeight="1">
      <c r="A50" s="194" t="s">
        <v>158</v>
      </c>
      <c r="C50" s="79">
        <f>C49*Asmpt!C50</f>
        <v>4500</v>
      </c>
      <c r="O50" s="116"/>
      <c r="P50" s="116"/>
      <c r="Q50" s="116"/>
    </row>
    <row r="51" spans="1:34" s="79" customFormat="1" ht="17.100000000000001" customHeight="1">
      <c r="A51" s="194" t="s">
        <v>159</v>
      </c>
      <c r="C51" s="79">
        <f>Asmpt!C49</f>
        <v>9000</v>
      </c>
      <c r="O51" s="116"/>
      <c r="P51" s="116"/>
      <c r="Q51" s="116"/>
    </row>
    <row r="52" spans="1:34" s="79" customFormat="1" ht="17.100000000000001" customHeight="1">
      <c r="A52" s="194" t="s">
        <v>160</v>
      </c>
      <c r="C52" s="79">
        <f>MIN(C50:C51)</f>
        <v>4500</v>
      </c>
      <c r="O52" s="116"/>
      <c r="P52" s="116"/>
      <c r="Q52" s="116"/>
    </row>
    <row r="53" spans="1:34" s="79" customFormat="1" ht="17.100000000000001" customHeight="1">
      <c r="A53" s="79" t="s">
        <v>155</v>
      </c>
      <c r="C53" s="110">
        <f>-MIN(C52,INDEX(Asmpt!$C184:$C189,E71))</f>
        <v>-1000</v>
      </c>
      <c r="O53" s="116"/>
      <c r="P53" s="116"/>
      <c r="Q53" s="116"/>
    </row>
    <row r="54" spans="1:34" s="79" customFormat="1" ht="17.100000000000001" customHeight="1">
      <c r="A54" s="79" t="s">
        <v>29</v>
      </c>
      <c r="C54" s="110">
        <f>C47+C52+C53</f>
        <v>4304</v>
      </c>
      <c r="O54" s="116"/>
      <c r="P54" s="116"/>
      <c r="Q54" s="116"/>
    </row>
    <row r="55" spans="1:34" s="79" customFormat="1" ht="17.100000000000001" customHeight="1">
      <c r="C55" s="107"/>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103</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107</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00000000000001" customHeight="1">
      <c r="A4" s="75"/>
      <c r="B4" s="75"/>
      <c r="C4" s="76"/>
      <c r="E4" s="74" t="s">
        <v>76</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234</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00000000000001" customHeight="1">
      <c r="A13" s="105" t="s">
        <v>233</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00000000000001" customHeight="1">
      <c r="A14" s="105" t="s">
        <v>111</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00000000000001" customHeight="1">
      <c r="A15" s="105" t="s">
        <v>215</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00000000000001" customHeight="1">
      <c r="A16" s="105" t="s">
        <v>216</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00000000000001" customHeight="1">
      <c r="A17" s="105" t="s">
        <v>112</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00000000000001" customHeight="1">
      <c r="A18" s="105" t="s">
        <v>113</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00000000000001" customHeight="1">
      <c r="A19" s="105" t="s">
        <v>213</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00000000000001" customHeight="1">
      <c r="A20" s="105" t="s">
        <v>214</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00000000000001" customHeight="1">
      <c r="A21" s="105" t="s">
        <v>217</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00000000000001" customHeight="1">
      <c r="A22" s="105" t="s">
        <v>218</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00000000000001" customHeight="1">
      <c r="A23" s="105" t="s">
        <v>114</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00000000000001" customHeight="1">
      <c r="A24" s="105" t="s">
        <v>115</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00000000000001" customHeight="1">
      <c r="A25" s="105" t="s">
        <v>116</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00000000000001" customHeight="1">
      <c r="A26" s="105" t="s">
        <v>225</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00000000000001" customHeight="1" outlineLevel="1">
      <c r="A27" s="105" t="s">
        <v>226</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00000000000001" customHeight="1">
      <c r="A28" s="105" t="s">
        <v>117</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00000000000001"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00000000000001" customHeight="1">
      <c r="B32" s="106"/>
      <c r="C32" s="107"/>
      <c r="N32" s="79" t="s">
        <v>88</v>
      </c>
      <c r="O32" s="107">
        <f>IF(E71=1,Asmpt!$D44,IF(Asmpt!$D53=1,Asmpt!$D44,Asmpt!$D45))</f>
        <v>2600</v>
      </c>
      <c r="P32" s="107">
        <f>IF(E71=1,O32,Asmpt!$D45)</f>
        <v>2600</v>
      </c>
      <c r="Q32" s="107"/>
    </row>
    <row r="33" spans="1:31" s="88" customFormat="1" ht="17.100000000000001" customHeight="1">
      <c r="A33" s="89" t="s">
        <v>94</v>
      </c>
      <c r="B33" s="89"/>
      <c r="C33" s="90" t="str">
        <f>Asmpt!$D$43</f>
        <v>HSA</v>
      </c>
      <c r="D33" s="79"/>
      <c r="E33" s="79"/>
      <c r="F33" s="79"/>
      <c r="G33" s="79"/>
      <c r="H33" s="79"/>
      <c r="I33" s="79"/>
      <c r="J33" s="79"/>
      <c r="K33" s="79"/>
      <c r="L33" s="79"/>
      <c r="M33" s="79"/>
      <c r="N33" s="79" t="s">
        <v>95</v>
      </c>
      <c r="O33" s="107">
        <f>IF(E71=1,Asmpt!$D48,IF(Asmpt!$D54=1,Asmpt!$D48,Asmpt!$D50))</f>
        <v>4500</v>
      </c>
      <c r="P33" s="107">
        <f>IF(E71=1,O33,Asmpt!$D49)</f>
        <v>4500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-MIN(SUM(C34:C36),INDEX(Asmpt!$D184:$D189,E71))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t="str">
        <f>'Cost Estimator'!G57</f>
        <v/>
      </c>
    </row>
    <row r="41" spans="1:31" s="79" customFormat="1" ht="17.100000000000001" customHeight="1">
      <c r="B41" s="106"/>
      <c r="C41" s="106"/>
    </row>
    <row r="42" spans="1:31" s="88" customFormat="1" ht="17.100000000000001"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IF(OR(C33="HSA",C33="HRA"),IF(Asmpt!$D$184+C37=0,0,Asmpt!$D$184+C37),"NA")</f>
        <v>1000</v>
      </c>
      <c r="O44" s="116"/>
      <c r="P44" s="116"/>
      <c r="Q44" s="116"/>
    </row>
    <row r="45" spans="1:31" s="79" customFormat="1" ht="17.100000000000001" customHeight="1">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t="str">
        <f>C40</f>
        <v/>
      </c>
      <c r="O47" s="116"/>
      <c r="P47" s="116"/>
      <c r="Q47" s="116"/>
    </row>
    <row r="48" spans="1:31" s="79" customFormat="1" ht="17.100000000000001" customHeight="1">
      <c r="A48" s="79" t="s">
        <v>104</v>
      </c>
      <c r="O48" s="116"/>
      <c r="P48" s="116"/>
      <c r="Q48" s="116"/>
    </row>
    <row r="49" spans="1:34" s="79" customFormat="1" ht="17.100000000000001" customHeight="1">
      <c r="A49" s="194" t="s">
        <v>157</v>
      </c>
      <c r="C49" s="79">
        <f>INDEX('Cost Estimator'!K5:K10,'Cost Estimator'!J4)</f>
        <v>1</v>
      </c>
      <c r="O49" s="116"/>
      <c r="P49" s="116"/>
      <c r="Q49" s="116"/>
    </row>
    <row r="50" spans="1:34" s="79" customFormat="1" ht="17.100000000000001" customHeight="1">
      <c r="A50" s="194" t="s">
        <v>158</v>
      </c>
      <c r="C50" s="79">
        <f>C49*Asmpt!C50</f>
        <v>4500</v>
      </c>
      <c r="O50" s="116"/>
      <c r="P50" s="116"/>
      <c r="Q50" s="116"/>
    </row>
    <row r="51" spans="1:34" s="79" customFormat="1" ht="17.100000000000001" customHeight="1">
      <c r="A51" s="194" t="s">
        <v>159</v>
      </c>
      <c r="C51" s="79">
        <f>Asmpt!C49</f>
        <v>9000</v>
      </c>
      <c r="O51" s="116"/>
      <c r="P51" s="116"/>
      <c r="Q51" s="116"/>
    </row>
    <row r="52" spans="1:34" s="79" customFormat="1" ht="17.100000000000001" customHeight="1">
      <c r="A52" s="194" t="s">
        <v>160</v>
      </c>
      <c r="C52" s="79">
        <f>MIN(C50:C51)</f>
        <v>4500</v>
      </c>
      <c r="O52" s="116"/>
      <c r="P52" s="116"/>
      <c r="Q52" s="116"/>
    </row>
    <row r="53" spans="1:34" s="79" customFormat="1" ht="17.100000000000001" customHeight="1">
      <c r="A53" s="79" t="s">
        <v>155</v>
      </c>
      <c r="C53" s="110">
        <f>-MIN(C52,INDEX(Asmpt!$C184:$C189,E71))</f>
        <v>-1000</v>
      </c>
      <c r="O53" s="116"/>
      <c r="P53" s="116"/>
      <c r="Q53" s="116"/>
    </row>
    <row r="54" spans="1:34" s="79" customFormat="1" ht="17.100000000000001" customHeight="1">
      <c r="A54" s="79" t="s">
        <v>29</v>
      </c>
      <c r="C54" s="110" t="e">
        <f>C47+C52+C53</f>
        <v>#VALUE!</v>
      </c>
      <c r="O54" s="116"/>
      <c r="P54" s="116"/>
      <c r="Q54" s="116"/>
    </row>
    <row r="55" spans="1:34" s="79" customFormat="1" ht="17.100000000000001" customHeight="1">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103</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107</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2022-04-25T18:10:14Z</cp:lastPrinted>
  <dcterms:created xsi:type="dcterms:W3CDTF">2006-10-12T18:05:23Z</dcterms:created>
  <dcterms:modified xsi:type="dcterms:W3CDTF">2022-04-25T19:20:58Z</dcterms:modified>
</cp:coreProperties>
</file>